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12" yWindow="312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<sst xmlns="http://schemas.openxmlformats.org/spreadsheetml/2006/main" count="164" uniqueCount="113">
  <si>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</si>
  <si>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</si>
  <si>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</si>
  <si>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</si>
  <si>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</si>
  <si>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</si>
  <si>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</si>
  <si>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</si>
  <si>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</si>
  <si>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</si>
  <si>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</si>
  <si>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</si>
  <si>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</si>
  <si>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</si>
  <si>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</si>
  <si>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</si>
  <si>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</si>
  <si>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</si>
  <si>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</si>
  <si>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</si>
  <si>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</si>
  <si>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</si>
  <si>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</si>
  <si>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</si>
  <si>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</si>
  <si>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</si>
  <si>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</si>
  <si>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</si>
  <si>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</si>
  <si>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</si>
  <si>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</si>
  <si>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</si>
  <si>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</si>
  <si>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</si>
  <si>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</si>
  <si>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</si>
  <si>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</si>
  <si>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</si>
  <si>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</si>
  <si>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</si>
  <si>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</si>
  <si>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</si>
  <si>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</si>
  <si>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</si>
  <si>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</si>
  <si>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</si>
  <si>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</si>
  <si>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</si>
  <si>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</si>
  <si>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</si>
  <si>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</si>
  <si>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</si>
  <si>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</si>
  <si>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</si>
  <si>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</si>
  <si>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</si>
  <si>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</si>
  <si>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</si>
  <si>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</si>
  <si>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</si>
  <si>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</si>
  <si>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</si>
  <si>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</si>
  <si>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</si>
  <si>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</si>
  <si>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</si>
  <si>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</si>
  <si>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</si>
  <si>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</si>
  <si>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</si>
  <si>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</si>
  <si>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</si>
  <si>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</si>
  <si>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</si>
  <si>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</si>
  <si>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</si>
  <si>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</si>
  <si>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</si>
  <si>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</si>
  <si>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</si>
  <si>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</si>
  <si>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</si>
  <si>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</si>
  <si>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</si>
  <si>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</si>
  <si>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</si>
  <si>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</si>
  <si>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</si>
  <si>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</si>
  <si>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</si>
  <si>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</si>
  <si>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</si>
  <si>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</si>
  <si>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</si>
  <si>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</si>
  <si>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</si>
  <si>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</si>
  <si>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</si>
  <si>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</si>
  <si>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</si>
  <si>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</si>
  <si>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</si>
  <si>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</si>
  <si>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</si>
  <si>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</si>
  <si>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</si>
  <si>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</si>
  <si>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</si>
  <si>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</si>
  <si>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3 місяці, тис.грн.</t>
  </si>
  <si>
    <t>Відсоток виконання  плану 3 місяців</t>
  </si>
  <si>
    <t>Відхилення від  плану 3 місяців, тис.грн.</t>
  </si>
  <si>
    <t>Аналіз використання коштів загального фонду міського бюджету станом на 21.03.2018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</si>
</sst>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200580.6</c:v>
                </c:pt>
                <c:pt idx="1">
                  <c:v>190000</c:v>
                </c:pt>
                <c:pt idx="2">
                  <c:v>2776.4</c:v>
                </c:pt>
                <c:pt idx="3">
                  <c:v>7804.200000000006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35401.90000000001</c:v>
                </c:pt>
                <c:pt idx="1">
                  <c:v>34071.70999999999</c:v>
                </c:pt>
                <c:pt idx="2">
                  <c:v>462.70000000000005</c:v>
                </c:pt>
                <c:pt idx="3">
                  <c:v>867.4900000000168</c:v>
                </c:pt>
              </c:numCache>
            </c:numRef>
          </c:val>
          <c:shape val="box"/>
        </c:ser>
        <c:shape val="box"/>
        <c:axId val="41929031"/>
        <c:axId val="41816960"/>
      </c:bar3DChart>
      <c:catAx>
        <c:axId val="4192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16960"/>
        <c:crosses val="autoZero"/>
        <c:auto val="1"/>
        <c:lblOffset val="100"/>
        <c:tickLblSkip val="1"/>
        <c:noMultiLvlLbl val="0"/>
      </c:catAx>
      <c:valAx>
        <c:axId val="41816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9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345"/>
          <c:w val="0.8435"/>
          <c:h val="0.67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826775</c:v>
                </c:pt>
                <c:pt idx="1">
                  <c:v>57538.8</c:v>
                </c:pt>
                <c:pt idx="2">
                  <c:v>649221.9</c:v>
                </c:pt>
                <c:pt idx="3">
                  <c:v>97.7</c:v>
                </c:pt>
                <c:pt idx="4">
                  <c:v>52816.3</c:v>
                </c:pt>
                <c:pt idx="5">
                  <c:v>88172.4</c:v>
                </c:pt>
                <c:pt idx="6">
                  <c:v>12738</c:v>
                </c:pt>
                <c:pt idx="7">
                  <c:v>23728.699999999968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149431.7</c:v>
                </c:pt>
                <c:pt idx="1">
                  <c:v>47773.5</c:v>
                </c:pt>
                <c:pt idx="2">
                  <c:v>118818.30000000002</c:v>
                </c:pt>
                <c:pt idx="3">
                  <c:v>3.4</c:v>
                </c:pt>
                <c:pt idx="4">
                  <c:v>3865.2999999999997</c:v>
                </c:pt>
                <c:pt idx="5">
                  <c:v>23833.200000000004</c:v>
                </c:pt>
                <c:pt idx="6">
                  <c:v>2614.9</c:v>
                </c:pt>
                <c:pt idx="7">
                  <c:v>296.599999999989</c:v>
                </c:pt>
              </c:numCache>
            </c:numRef>
          </c:val>
          <c:shape val="box"/>
        </c:ser>
        <c:shape val="box"/>
        <c:axId val="40808321"/>
        <c:axId val="31730570"/>
      </c:bar3DChart>
      <c:catAx>
        <c:axId val="40808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730570"/>
        <c:crosses val="autoZero"/>
        <c:auto val="1"/>
        <c:lblOffset val="100"/>
        <c:tickLblSkip val="1"/>
        <c:noMultiLvlLbl val="0"/>
      </c:catAx>
      <c:valAx>
        <c:axId val="31730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08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76025.00000000001</c:v>
                </c:pt>
                <c:pt idx="1">
                  <c:v>53913.500000000015</c:v>
                </c:pt>
                <c:pt idx="2">
                  <c:v>76025.00000000001</c:v>
                </c:pt>
              </c:numCache>
            </c:numRef>
          </c:val>
          <c:shape val="box"/>
        </c:ser>
        <c:shape val="box"/>
        <c:axId val="17139675"/>
        <c:axId val="20039348"/>
      </c:bar3DChart>
      <c:catAx>
        <c:axId val="1713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39348"/>
        <c:crosses val="autoZero"/>
        <c:auto val="1"/>
        <c:lblOffset val="100"/>
        <c:tickLblSkip val="1"/>
        <c:noMultiLvlLbl val="0"/>
      </c:catAx>
      <c:valAx>
        <c:axId val="20039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396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24805.1</c:v>
                </c:pt>
                <c:pt idx="1">
                  <c:v>12906.6</c:v>
                </c:pt>
                <c:pt idx="2">
                  <c:v>1783</c:v>
                </c:pt>
                <c:pt idx="3">
                  <c:v>1008</c:v>
                </c:pt>
                <c:pt idx="4">
                  <c:v>80.8</c:v>
                </c:pt>
                <c:pt idx="5">
                  <c:v>9026.699999999999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4020.4</c:v>
                </c:pt>
                <c:pt idx="1">
                  <c:v>2282.2</c:v>
                </c:pt>
                <c:pt idx="2">
                  <c:v>352.40000000000003</c:v>
                </c:pt>
                <c:pt idx="3">
                  <c:v>93</c:v>
                </c:pt>
                <c:pt idx="4">
                  <c:v>15.299999999999999</c:v>
                </c:pt>
                <c:pt idx="5">
                  <c:v>1277.5000000000002</c:v>
                </c:pt>
              </c:numCache>
            </c:numRef>
          </c:val>
          <c:shape val="box"/>
        </c:ser>
        <c:shape val="box"/>
        <c:axId val="46136405"/>
        <c:axId val="12574462"/>
      </c:bar3DChart>
      <c:catAx>
        <c:axId val="46136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574462"/>
        <c:crosses val="autoZero"/>
        <c:auto val="1"/>
        <c:lblOffset val="100"/>
        <c:tickLblSkip val="1"/>
        <c:noMultiLvlLbl val="0"/>
      </c:catAx>
      <c:valAx>
        <c:axId val="12574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364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35"/>
          <c:w val="0.86375"/>
          <c:h val="0.64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13200</c:v>
                </c:pt>
                <c:pt idx="6">
                  <c:v>1610.6000000000004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5649.2</c:v>
                </c:pt>
                <c:pt idx="1">
                  <c:v>3532.2999999999997</c:v>
                </c:pt>
                <c:pt idx="3">
                  <c:v>102.10000000000001</c:v>
                </c:pt>
                <c:pt idx="4">
                  <c:v>252.5</c:v>
                </c:pt>
                <c:pt idx="5">
                  <c:v>330</c:v>
                </c:pt>
                <c:pt idx="6">
                  <c:v>1432.3000000000002</c:v>
                </c:pt>
              </c:numCache>
            </c:numRef>
          </c:val>
          <c:shape val="box"/>
        </c:ser>
        <c:shape val="box"/>
        <c:axId val="46061295"/>
        <c:axId val="11898472"/>
      </c:bar3DChart>
      <c:catAx>
        <c:axId val="460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98472"/>
        <c:crosses val="autoZero"/>
        <c:auto val="1"/>
        <c:lblOffset val="100"/>
        <c:tickLblSkip val="2"/>
        <c:noMultiLvlLbl val="0"/>
      </c:catAx>
      <c:valAx>
        <c:axId val="11898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1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689.9000000000002</c:v>
                </c:pt>
                <c:pt idx="1">
                  <c:v>551.6000000000001</c:v>
                </c:pt>
                <c:pt idx="3">
                  <c:v>103.3</c:v>
                </c:pt>
                <c:pt idx="4">
                  <c:v>0</c:v>
                </c:pt>
                <c:pt idx="5">
                  <c:v>35.00000000000007</c:v>
                </c:pt>
              </c:numCache>
            </c:numRef>
          </c:val>
          <c:shape val="box"/>
        </c:ser>
        <c:shape val="box"/>
        <c:axId val="39977385"/>
        <c:axId val="24252146"/>
      </c:bar3DChart>
      <c:catAx>
        <c:axId val="3997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52146"/>
        <c:crosses val="autoZero"/>
        <c:auto val="1"/>
        <c:lblOffset val="100"/>
        <c:tickLblSkip val="1"/>
        <c:noMultiLvlLbl val="0"/>
      </c:catAx>
      <c:valAx>
        <c:axId val="24252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7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925"/>
          <c:w val="0.852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6030.6</c:v>
                </c:pt>
              </c:numCache>
            </c:numRef>
          </c:val>
          <c:shape val="box"/>
        </c:ser>
        <c:shape val="box"/>
        <c:axId val="16942723"/>
        <c:axId val="18266780"/>
      </c:bar3DChart>
      <c:catAx>
        <c:axId val="1694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266780"/>
        <c:crosses val="autoZero"/>
        <c:auto val="1"/>
        <c:lblOffset val="100"/>
        <c:tickLblSkip val="1"/>
        <c:noMultiLvlLbl val="0"/>
      </c:catAx>
      <c:valAx>
        <c:axId val="18266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42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826775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200580.6</c:v>
                </c:pt>
                <c:pt idx="6">
                  <c:v>46414.5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149431.7</c:v>
                </c:pt>
                <c:pt idx="1">
                  <c:v>76025.00000000001</c:v>
                </c:pt>
                <c:pt idx="2">
                  <c:v>4020.4</c:v>
                </c:pt>
                <c:pt idx="3">
                  <c:v>5649.2</c:v>
                </c:pt>
                <c:pt idx="4">
                  <c:v>689.9000000000002</c:v>
                </c:pt>
                <c:pt idx="5">
                  <c:v>35401.90000000001</c:v>
                </c:pt>
                <c:pt idx="6">
                  <c:v>6030.6</c:v>
                </c:pt>
              </c:numCache>
            </c:numRef>
          </c:val>
          <c:shape val="box"/>
        </c:ser>
        <c:shape val="box"/>
        <c:axId val="30183293"/>
        <c:axId val="3214182"/>
      </c:bar3D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4182"/>
        <c:crosses val="autoZero"/>
        <c:auto val="1"/>
        <c:lblOffset val="100"/>
        <c:tickLblSkip val="1"/>
        <c:noMultiLvlLbl val="0"/>
      </c:catAx>
      <c:valAx>
        <c:axId val="3214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832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фінансування'!$C$153:$C$158</c:f>
              <c:numCache>
                <c:ptCount val="6"/>
                <c:pt idx="0">
                  <c:v>889812.0000000001</c:v>
                </c:pt>
                <c:pt idx="1">
                  <c:v>110074.39999999998</c:v>
                </c:pt>
                <c:pt idx="2">
                  <c:v>54269.5</c:v>
                </c:pt>
                <c:pt idx="3">
                  <c:v>40455.4</c:v>
                </c:pt>
                <c:pt idx="4">
                  <c:v>113.10000000000001</c:v>
                </c:pt>
                <c:pt idx="5">
                  <c:v>1008465.3999999999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фінансування'!$A$153:$A$158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фінансування'!$D$153:$D$158</c:f>
              <c:numCache>
                <c:ptCount val="6"/>
                <c:pt idx="0">
                  <c:v>161679.81000000003</c:v>
                </c:pt>
                <c:pt idx="1">
                  <c:v>28077.800000000007</c:v>
                </c:pt>
                <c:pt idx="2">
                  <c:v>3979.2</c:v>
                </c:pt>
                <c:pt idx="3">
                  <c:v>4300.3</c:v>
                </c:pt>
                <c:pt idx="4">
                  <c:v>3.4</c:v>
                </c:pt>
                <c:pt idx="5">
                  <c:v>109573.18999999993</c:v>
                </c:pt>
              </c:numCache>
            </c:numRef>
          </c:val>
          <c:shape val="box"/>
        </c:ser>
        <c:shape val="box"/>
        <c:axId val="28927639"/>
        <c:axId val="59022160"/>
      </c:bar3DChart>
      <c:catAx>
        <c:axId val="2892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22160"/>
        <c:crosses val="autoZero"/>
        <c:auto val="1"/>
        <c:lblOffset val="100"/>
        <c:tickLblSkip val="1"/>
        <c:noMultiLvlLbl val="0"/>
      </c:catAx>
      <c:valAx>
        <c:axId val="59022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7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="80" zoomScaleNormal="80" zoomScalePageLayoutView="0" workbookViewId="0" topLeftCell="A1">
      <pane xSplit="1" ySplit="5" topLeftCell="B1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30" sqref="K130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109</v>
      </c>
      <c r="C3" s="164" t="s">
        <v>106</v>
      </c>
      <c r="D3" s="164" t="s">
        <v>22</v>
      </c>
      <c r="E3" s="164" t="s">
        <v>21</v>
      </c>
      <c r="F3" s="164" t="s">
        <v>110</v>
      </c>
      <c r="G3" s="164" t="s">
        <v>107</v>
      </c>
      <c r="H3" s="164" t="s">
        <v>111</v>
      </c>
      <c r="I3" s="164" t="s">
        <v>108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9" ht="39" customHeight="1" thickBot="1">
      <c r="A5" s="169"/>
      <c r="B5" s="172"/>
      <c r="C5" s="166"/>
      <c r="D5" s="166"/>
      <c r="E5" s="166"/>
      <c r="F5" s="166"/>
      <c r="G5" s="166"/>
      <c r="H5" s="166"/>
      <c r="I5" s="166"/>
    </row>
    <row r="6" spans="1:11" ht="18.75" thickBot="1">
      <c r="A6" s="20" t="s">
        <v>26</v>
      </c>
      <c r="B6" s="38">
        <v>216035</v>
      </c>
      <c r="C6" s="39">
        <v>826775</v>
      </c>
      <c r="D6" s="40">
        <f>18784.8+19.1+1564+604.6+17261.2+400.5+10875.2+151.3+0.7+306.3+593.7+110+1396.3+9132.6+10728.8+272.5+616.2+58.8+521.9+257.8+1268.1+880.8+27792.6+9963.6+1287.2+1.6+60.1+4.3+1251.3+2463.2+25258.1+204.9+66.2+1991.6+1935.4+1346.4</f>
        <v>149431.7</v>
      </c>
      <c r="E6" s="3">
        <f>D6/D152*100</f>
        <v>48.57771289120089</v>
      </c>
      <c r="F6" s="3">
        <f>D6/B6*100</f>
        <v>69.1701344689518</v>
      </c>
      <c r="G6" s="3">
        <f aca="true" t="shared" si="0" ref="G6:G43">D6/C6*100</f>
        <v>18.07404674790602</v>
      </c>
      <c r="H6" s="40">
        <f>B6-D6</f>
        <v>66603.29999999999</v>
      </c>
      <c r="I6" s="40">
        <f aca="true" t="shared" si="1" ref="I6:I43">C6-D6</f>
        <v>677343.3</v>
      </c>
      <c r="J6" s="93"/>
      <c r="K6" s="156"/>
    </row>
    <row r="7" spans="1:12" s="94" customFormat="1" ht="18">
      <c r="A7" s="142" t="s">
        <v>81</v>
      </c>
      <c r="B7" s="143">
        <v>57538.8</v>
      </c>
      <c r="C7" s="144">
        <v>57538.8</v>
      </c>
      <c r="D7" s="145">
        <f>8282.7+10875.2+9132.6+9963.6+4.3+9515.1</f>
        <v>47773.5</v>
      </c>
      <c r="E7" s="146">
        <f>D7/D6*100</f>
        <v>31.970124143672322</v>
      </c>
      <c r="F7" s="146">
        <f>D7/B7*100</f>
        <v>83.0283217585351</v>
      </c>
      <c r="G7" s="146">
        <f>D7/C7*100</f>
        <v>83.0283217585351</v>
      </c>
      <c r="H7" s="145">
        <f>B7-D7</f>
        <v>9765.300000000003</v>
      </c>
      <c r="I7" s="145">
        <f t="shared" si="1"/>
        <v>9765.300000000003</v>
      </c>
      <c r="K7" s="156"/>
      <c r="L7" s="141"/>
    </row>
    <row r="8" spans="1:12" s="93" customFormat="1" ht="18">
      <c r="A8" s="103" t="s">
        <v>3</v>
      </c>
      <c r="B8" s="128">
        <v>153480.2</v>
      </c>
      <c r="C8" s="129">
        <v>649221.9</v>
      </c>
      <c r="D8" s="105">
        <f>18784.8+17058.5+10875.2+340.5+963.8+9132.6+10728.8+20670.9+9963.6+30.7+4.3+37.1+20227.5</f>
        <v>118818.30000000002</v>
      </c>
      <c r="E8" s="107">
        <f>D8/D6*100</f>
        <v>79.51344995740529</v>
      </c>
      <c r="F8" s="107">
        <f>D8/B8*100</f>
        <v>77.41604454515958</v>
      </c>
      <c r="G8" s="107">
        <f t="shared" si="0"/>
        <v>18.30164694074553</v>
      </c>
      <c r="H8" s="105">
        <f>B8-D8</f>
        <v>34661.899999999994</v>
      </c>
      <c r="I8" s="105">
        <f t="shared" si="1"/>
        <v>530403.6</v>
      </c>
      <c r="K8" s="156"/>
      <c r="L8" s="141"/>
    </row>
    <row r="9" spans="1:12" s="93" customFormat="1" ht="18">
      <c r="A9" s="103" t="s">
        <v>2</v>
      </c>
      <c r="B9" s="128">
        <v>30.8</v>
      </c>
      <c r="C9" s="129">
        <v>97.7</v>
      </c>
      <c r="D9" s="105">
        <f>3.4</f>
        <v>3.4</v>
      </c>
      <c r="E9" s="130">
        <f>D9/D6*100</f>
        <v>0.002275286970569163</v>
      </c>
      <c r="F9" s="107">
        <f>D9/B9*100</f>
        <v>11.03896103896104</v>
      </c>
      <c r="G9" s="107">
        <f t="shared" si="0"/>
        <v>3.480040941658137</v>
      </c>
      <c r="H9" s="105">
        <f aca="true" t="shared" si="2" ref="H9:H43">B9-D9</f>
        <v>27.400000000000002</v>
      </c>
      <c r="I9" s="105">
        <f t="shared" si="1"/>
        <v>94.3</v>
      </c>
      <c r="K9" s="156"/>
      <c r="L9" s="141"/>
    </row>
    <row r="10" spans="1:12" s="93" customFormat="1" ht="18">
      <c r="A10" s="103" t="s">
        <v>1</v>
      </c>
      <c r="B10" s="128">
        <v>14028.9</v>
      </c>
      <c r="C10" s="129">
        <v>52816.3</v>
      </c>
      <c r="D10" s="147">
        <f>48.9+218.8+88.4+85.8+204.3+521.3+87.9+293.2+244.8+269.9+23.7+37.8+76.9+443.5+72.7+206+64-0.1+91.4+327.2+264.1+9.2+95.9+74.6+15.1</f>
        <v>3865.2999999999997</v>
      </c>
      <c r="E10" s="107">
        <f>D10/D6*100</f>
        <v>2.5866666845120543</v>
      </c>
      <c r="F10" s="107">
        <f aca="true" t="shared" si="3" ref="F10:F41">D10/B10*100</f>
        <v>27.552409668612647</v>
      </c>
      <c r="G10" s="107">
        <f t="shared" si="0"/>
        <v>7.318384665340055</v>
      </c>
      <c r="H10" s="105">
        <f t="shared" si="2"/>
        <v>10163.6</v>
      </c>
      <c r="I10" s="105">
        <f t="shared" si="1"/>
        <v>48951</v>
      </c>
      <c r="K10" s="156"/>
      <c r="L10" s="141"/>
    </row>
    <row r="11" spans="1:12" s="93" customFormat="1" ht="18">
      <c r="A11" s="103" t="s">
        <v>0</v>
      </c>
      <c r="B11" s="128">
        <f>24343.5+17197.4</f>
        <v>41540.9</v>
      </c>
      <c r="C11" s="129">
        <v>88172.4</v>
      </c>
      <c r="D11" s="148">
        <f>19.1+640.6+125.5+108.2+60+64.1+0.7+97.8+43.1+15+139.1+27.1+31.6+324.4+180.4+824.6+269.5+6895.2+1223.1+1.6+0.1+1078.7+2077.1+4723+204.5+1867.4+1644.3+1147.4</f>
        <v>23833.200000000004</v>
      </c>
      <c r="E11" s="107">
        <f>D11/D6*100</f>
        <v>15.949226302049702</v>
      </c>
      <c r="F11" s="107">
        <f t="shared" si="3"/>
        <v>57.372854223187275</v>
      </c>
      <c r="G11" s="107">
        <f t="shared" si="0"/>
        <v>27.030227145909613</v>
      </c>
      <c r="H11" s="105">
        <f t="shared" si="2"/>
        <v>17707.699999999997</v>
      </c>
      <c r="I11" s="105">
        <f t="shared" si="1"/>
        <v>64339.19999999999</v>
      </c>
      <c r="K11" s="156"/>
      <c r="L11" s="141"/>
    </row>
    <row r="12" spans="1:12" s="93" customFormat="1" ht="18">
      <c r="A12" s="103" t="s">
        <v>14</v>
      </c>
      <c r="B12" s="128">
        <v>3359.6</v>
      </c>
      <c r="C12" s="129">
        <v>12738</v>
      </c>
      <c r="D12" s="105">
        <f>874.5+251.8+346.3+159.7+538.5+10.6+57+168.9+31.7+165.3+10.6</f>
        <v>2614.9</v>
      </c>
      <c r="E12" s="107">
        <f>D12/D6*100</f>
        <v>1.7498964409827364</v>
      </c>
      <c r="F12" s="107">
        <f t="shared" si="3"/>
        <v>77.83367067508037</v>
      </c>
      <c r="G12" s="107">
        <f t="shared" si="0"/>
        <v>20.528340398806723</v>
      </c>
      <c r="H12" s="105">
        <f>B12-D12</f>
        <v>744.6999999999998</v>
      </c>
      <c r="I12" s="105">
        <f t="shared" si="1"/>
        <v>10123.1</v>
      </c>
      <c r="K12" s="156"/>
      <c r="L12" s="141"/>
    </row>
    <row r="13" spans="1:12" s="93" customFormat="1" ht="18.75" thickBot="1">
      <c r="A13" s="103" t="s">
        <v>27</v>
      </c>
      <c r="B13" s="129">
        <f>B6-B8-B9-B10-B11-B12</f>
        <v>3594.5999999999826</v>
      </c>
      <c r="C13" s="129">
        <f>C6-C8-C9-C10-C11-C12</f>
        <v>23728.699999999968</v>
      </c>
      <c r="D13" s="129">
        <f>D6-D8-D9-D10-D11-D12</f>
        <v>296.599999999989</v>
      </c>
      <c r="E13" s="107">
        <f>D13/D6*100</f>
        <v>0.19848532807964372</v>
      </c>
      <c r="F13" s="107">
        <f t="shared" si="3"/>
        <v>8.251265787569977</v>
      </c>
      <c r="G13" s="107">
        <f t="shared" si="0"/>
        <v>1.2499631248234813</v>
      </c>
      <c r="H13" s="105">
        <f t="shared" si="2"/>
        <v>3297.9999999999936</v>
      </c>
      <c r="I13" s="105">
        <f t="shared" si="1"/>
        <v>23432.09999999998</v>
      </c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f>106061.4-46.7</f>
        <v>106014.7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</f>
        <v>76025.00000000001</v>
      </c>
      <c r="E18" s="3">
        <f>D18/D152*100</f>
        <v>24.714438921283424</v>
      </c>
      <c r="F18" s="3">
        <f>D18/B18*100</f>
        <v>71.71175318139844</v>
      </c>
      <c r="G18" s="3">
        <f t="shared" si="0"/>
        <v>17.924020073016365</v>
      </c>
      <c r="H18" s="40">
        <f>B18-D18</f>
        <v>29989.699999999983</v>
      </c>
      <c r="I18" s="40">
        <f t="shared" si="1"/>
        <v>348126.5</v>
      </c>
      <c r="J18" s="93"/>
      <c r="K18" s="156"/>
    </row>
    <row r="19" spans="1:13" s="94" customFormat="1" ht="18">
      <c r="A19" s="142" t="s">
        <v>82</v>
      </c>
      <c r="B19" s="143">
        <v>66008.8</v>
      </c>
      <c r="C19" s="144">
        <v>226186</v>
      </c>
      <c r="D19" s="145">
        <f>10253+8836.7+83+81.4+67.5+107.8+99.9+68+670.4+333.8+10669.5+517.6+20+0.9+930.5+9161.8+16.3+11.4+213.8+133.4+10945.8+52.3+638.7</f>
        <v>53913.500000000015</v>
      </c>
      <c r="E19" s="146">
        <f>D19/D18*100</f>
        <v>70.91548832620849</v>
      </c>
      <c r="F19" s="146">
        <f t="shared" si="3"/>
        <v>81.6762310479815</v>
      </c>
      <c r="G19" s="146">
        <f t="shared" si="0"/>
        <v>23.835913805452154</v>
      </c>
      <c r="H19" s="145">
        <f t="shared" si="2"/>
        <v>12095.299999999988</v>
      </c>
      <c r="I19" s="145">
        <f t="shared" si="1"/>
        <v>172272.5</v>
      </c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106014.7</v>
      </c>
      <c r="C25" s="129">
        <f>C18</f>
        <v>424151.5</v>
      </c>
      <c r="D25" s="129">
        <f>D18</f>
        <v>76025.00000000001</v>
      </c>
      <c r="E25" s="107">
        <f>D25/D18*100</f>
        <v>100</v>
      </c>
      <c r="F25" s="107">
        <f t="shared" si="3"/>
        <v>71.71175318139844</v>
      </c>
      <c r="G25" s="107">
        <f t="shared" si="0"/>
        <v>17.924020073016365</v>
      </c>
      <c r="H25" s="105">
        <f t="shared" si="2"/>
        <v>29989.699999999983</v>
      </c>
      <c r="I25" s="105">
        <f t="shared" si="1"/>
        <v>348126.5</v>
      </c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6">
        <f t="shared" si="4"/>
        <v>0</v>
      </c>
    </row>
    <row r="33" spans="1:11" ht="18.75" thickBot="1">
      <c r="A33" s="20" t="s">
        <v>17</v>
      </c>
      <c r="B33" s="38">
        <v>6253.8</v>
      </c>
      <c r="C33" s="39">
        <v>24805.1</v>
      </c>
      <c r="D33" s="42">
        <f>364.6+44.8+35.8+191.3+646.1+25.1+164.7+15+5.1+531+54.3+2.5+15.8+202.7+1.6+22.1+596.2+0.1+14.1+123.8+80.3+68.1+398.3+3.2+1+245+165.3+2.5</f>
        <v>4020.4</v>
      </c>
      <c r="E33" s="3">
        <f>D33/D152*100</f>
        <v>1.3069638966014845</v>
      </c>
      <c r="F33" s="3">
        <f>D33/B33*100</f>
        <v>64.2873133135054</v>
      </c>
      <c r="G33" s="3">
        <f t="shared" si="0"/>
        <v>16.20795723460095</v>
      </c>
      <c r="H33" s="40">
        <f t="shared" si="2"/>
        <v>2233.4</v>
      </c>
      <c r="I33" s="40">
        <f t="shared" si="1"/>
        <v>20784.699999999997</v>
      </c>
      <c r="J33" s="93"/>
      <c r="K33" s="156"/>
    </row>
    <row r="34" spans="1:11" s="93" customFormat="1" ht="18">
      <c r="A34" s="103" t="s">
        <v>3</v>
      </c>
      <c r="B34" s="128">
        <v>3016.5</v>
      </c>
      <c r="C34" s="129">
        <v>12906.6</v>
      </c>
      <c r="D34" s="105">
        <f>364.6+548.1+389.3+522.2+63+395</f>
        <v>2282.2</v>
      </c>
      <c r="E34" s="107">
        <f>D34/D33*100</f>
        <v>56.765495970550184</v>
      </c>
      <c r="F34" s="107">
        <f t="shared" si="3"/>
        <v>75.65721863086358</v>
      </c>
      <c r="G34" s="107">
        <f t="shared" si="0"/>
        <v>17.682426045589075</v>
      </c>
      <c r="H34" s="105">
        <f t="shared" si="2"/>
        <v>734.3000000000002</v>
      </c>
      <c r="I34" s="105">
        <f t="shared" si="1"/>
        <v>10624.400000000001</v>
      </c>
      <c r="K34" s="156"/>
    </row>
    <row r="35" spans="1:11" s="93" customFormat="1" ht="18" hidden="1">
      <c r="A35" s="103" t="s">
        <v>1</v>
      </c>
      <c r="B35" s="128"/>
      <c r="C35" s="129"/>
      <c r="D35" s="105"/>
      <c r="E35" s="107">
        <f>D35/D33*100</f>
        <v>0</v>
      </c>
      <c r="F35" s="107" t="e">
        <f t="shared" si="3"/>
        <v>#DIV/0!</v>
      </c>
      <c r="G35" s="107" t="e">
        <f t="shared" si="0"/>
        <v>#DIV/0!</v>
      </c>
      <c r="H35" s="105">
        <f t="shared" si="2"/>
        <v>0</v>
      </c>
      <c r="I35" s="105">
        <f t="shared" si="1"/>
        <v>0</v>
      </c>
      <c r="K35" s="156"/>
    </row>
    <row r="36" spans="1:11" s="93" customFormat="1" ht="18">
      <c r="A36" s="103" t="s">
        <v>0</v>
      </c>
      <c r="B36" s="128">
        <v>715.8</v>
      </c>
      <c r="C36" s="129">
        <v>1783</v>
      </c>
      <c r="D36" s="105">
        <f>0.3+11.3+141.7+12.6+0.9+0.4+12.9+1.3+0.5+169.4+1.1</f>
        <v>352.40000000000003</v>
      </c>
      <c r="E36" s="107">
        <f>D36/D33*100</f>
        <v>8.76529698537459</v>
      </c>
      <c r="F36" s="107">
        <f t="shared" si="3"/>
        <v>49.231628946633144</v>
      </c>
      <c r="G36" s="107">
        <f t="shared" si="0"/>
        <v>19.76444195176669</v>
      </c>
      <c r="H36" s="105">
        <f t="shared" si="2"/>
        <v>363.3999999999999</v>
      </c>
      <c r="I36" s="105">
        <f t="shared" si="1"/>
        <v>1430.6</v>
      </c>
      <c r="K36" s="156"/>
    </row>
    <row r="37" spans="1:12" s="94" customFormat="1" ht="18">
      <c r="A37" s="119" t="s">
        <v>7</v>
      </c>
      <c r="B37" s="139">
        <v>148.1</v>
      </c>
      <c r="C37" s="140">
        <v>1008</v>
      </c>
      <c r="D37" s="110">
        <f>44.8+25.1+1.6+0.5+2.7+1+6.3+8.5+2.5</f>
        <v>93</v>
      </c>
      <c r="E37" s="114">
        <f>D37/D33*100</f>
        <v>2.313202666401353</v>
      </c>
      <c r="F37" s="114">
        <f t="shared" si="3"/>
        <v>62.795408507765025</v>
      </c>
      <c r="G37" s="114">
        <f t="shared" si="0"/>
        <v>9.226190476190476</v>
      </c>
      <c r="H37" s="110">
        <f t="shared" si="2"/>
        <v>55.099999999999994</v>
      </c>
      <c r="I37" s="110">
        <f t="shared" si="1"/>
        <v>915</v>
      </c>
      <c r="K37" s="156"/>
      <c r="L37" s="141"/>
    </row>
    <row r="38" spans="1:11" s="93" customFormat="1" ht="18">
      <c r="A38" s="103" t="s">
        <v>14</v>
      </c>
      <c r="B38" s="128">
        <v>15.3</v>
      </c>
      <c r="C38" s="129">
        <v>80.8</v>
      </c>
      <c r="D38" s="129">
        <f>5.1+5.1+5.1</f>
        <v>15.299999999999999</v>
      </c>
      <c r="E38" s="107">
        <f>D38/D33*100</f>
        <v>0.3805591483434484</v>
      </c>
      <c r="F38" s="107">
        <f t="shared" si="3"/>
        <v>99.99999999999999</v>
      </c>
      <c r="G38" s="107">
        <f t="shared" si="0"/>
        <v>18.935643564356436</v>
      </c>
      <c r="H38" s="105">
        <f t="shared" si="2"/>
        <v>0</v>
      </c>
      <c r="I38" s="105">
        <f t="shared" si="1"/>
        <v>65.5</v>
      </c>
      <c r="K38" s="156"/>
    </row>
    <row r="39" spans="1:11" s="93" customFormat="1" ht="18.75" thickBot="1">
      <c r="A39" s="103" t="s">
        <v>27</v>
      </c>
      <c r="B39" s="128">
        <f>B33-B34-B36-B37-B35-B38</f>
        <v>2358.1</v>
      </c>
      <c r="C39" s="128">
        <f>C33-C34-C36-C37-C35-C38</f>
        <v>9026.699999999999</v>
      </c>
      <c r="D39" s="128">
        <f>D33-D34-D36-D37-D35-D38</f>
        <v>1277.5000000000002</v>
      </c>
      <c r="E39" s="107">
        <f>D39/D33*100</f>
        <v>31.77544522933042</v>
      </c>
      <c r="F39" s="107">
        <f t="shared" si="3"/>
        <v>54.17497137525975</v>
      </c>
      <c r="G39" s="107">
        <f t="shared" si="0"/>
        <v>14.152458816621804</v>
      </c>
      <c r="H39" s="105">
        <f>B39-D39</f>
        <v>1080.5999999999997</v>
      </c>
      <c r="I39" s="105">
        <f t="shared" si="1"/>
        <v>7749.199999999999</v>
      </c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6">
        <f>C42-B42</f>
        <v>0</v>
      </c>
    </row>
    <row r="43" spans="1:11" ht="18.75" thickBot="1">
      <c r="A43" s="12" t="s">
        <v>16</v>
      </c>
      <c r="B43" s="76">
        <v>798.5</v>
      </c>
      <c r="C43" s="39">
        <v>1126.9</v>
      </c>
      <c r="D43" s="40">
        <f>63.9+1.1+0.6+70.8</f>
        <v>136.39999999999998</v>
      </c>
      <c r="E43" s="3">
        <f>D43/D152*100</f>
        <v>0.04434132810079655</v>
      </c>
      <c r="F43" s="3">
        <f>D43/B43*100</f>
        <v>17.082028804007514</v>
      </c>
      <c r="G43" s="3">
        <f t="shared" si="0"/>
        <v>12.104002129736442</v>
      </c>
      <c r="H43" s="40">
        <f t="shared" si="2"/>
        <v>662.1</v>
      </c>
      <c r="I43" s="40">
        <f t="shared" si="1"/>
        <v>990.5000000000001</v>
      </c>
      <c r="J43" s="93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6"/>
    </row>
    <row r="45" spans="1:11" ht="18.75" thickBot="1">
      <c r="A45" s="20" t="s">
        <v>44</v>
      </c>
      <c r="B45" s="38">
        <v>3313.5</v>
      </c>
      <c r="C45" s="39">
        <v>13576.3</v>
      </c>
      <c r="D45" s="40">
        <f>237.1+562.8+52.3+349.2+679.9+375.9</f>
        <v>2257.2</v>
      </c>
      <c r="E45" s="3">
        <f>D45/D152*100</f>
        <v>0.7337774617970526</v>
      </c>
      <c r="F45" s="3">
        <f>D45/B45*100</f>
        <v>68.12132186509733</v>
      </c>
      <c r="G45" s="3">
        <f aca="true" t="shared" si="5" ref="G45:G76">D45/C45*100</f>
        <v>16.626032129519825</v>
      </c>
      <c r="H45" s="40">
        <f>B45-D45</f>
        <v>1056.3000000000002</v>
      </c>
      <c r="I45" s="40">
        <f aca="true" t="shared" si="6" ref="I45:I77">C45-D45</f>
        <v>11319.099999999999</v>
      </c>
      <c r="J45" s="93"/>
      <c r="K45" s="156"/>
    </row>
    <row r="46" spans="1:11" s="93" customFormat="1" ht="18">
      <c r="A46" s="103" t="s">
        <v>3</v>
      </c>
      <c r="B46" s="128">
        <v>2882.1</v>
      </c>
      <c r="C46" s="129">
        <v>12256.4</v>
      </c>
      <c r="D46" s="105">
        <f>237.1+551.8+334.1+652.5+314.7</f>
        <v>2090.2</v>
      </c>
      <c r="E46" s="107">
        <f>D46/D45*100</f>
        <v>92.60145312776892</v>
      </c>
      <c r="F46" s="107">
        <f aca="true" t="shared" si="7" ref="F46:F74">D46/B46*100</f>
        <v>72.52350716491446</v>
      </c>
      <c r="G46" s="107">
        <f t="shared" si="5"/>
        <v>17.053947325478934</v>
      </c>
      <c r="H46" s="105">
        <f aca="true" t="shared" si="8" ref="H46:H74">B46-D46</f>
        <v>791.9000000000001</v>
      </c>
      <c r="I46" s="105">
        <f t="shared" si="6"/>
        <v>10166.2</v>
      </c>
      <c r="K46" s="156"/>
    </row>
    <row r="47" spans="1:11" s="93" customFormat="1" ht="18">
      <c r="A47" s="103" t="s">
        <v>2</v>
      </c>
      <c r="B47" s="128">
        <v>0.8</v>
      </c>
      <c r="C47" s="129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6"/>
    </row>
    <row r="48" spans="1:11" s="93" customFormat="1" ht="18">
      <c r="A48" s="103" t="s">
        <v>1</v>
      </c>
      <c r="B48" s="128">
        <v>19.7</v>
      </c>
      <c r="C48" s="129">
        <v>98.9</v>
      </c>
      <c r="D48" s="105">
        <f>5.7+6.1</f>
        <v>11.8</v>
      </c>
      <c r="E48" s="107">
        <f>D48/D45*100</f>
        <v>0.5227715754031544</v>
      </c>
      <c r="F48" s="107">
        <f t="shared" si="7"/>
        <v>59.89847715736041</v>
      </c>
      <c r="G48" s="107">
        <f t="shared" si="5"/>
        <v>11.93124368048534</v>
      </c>
      <c r="H48" s="105">
        <f t="shared" si="8"/>
        <v>7.899999999999999</v>
      </c>
      <c r="I48" s="105">
        <f t="shared" si="6"/>
        <v>87.10000000000001</v>
      </c>
      <c r="K48" s="156"/>
    </row>
    <row r="49" spans="1:11" s="93" customFormat="1" ht="18">
      <c r="A49" s="103" t="s">
        <v>0</v>
      </c>
      <c r="B49" s="128">
        <v>345.2</v>
      </c>
      <c r="C49" s="129">
        <v>879.8</v>
      </c>
      <c r="D49" s="105">
        <f>7.3+51.9+12.7-0.1+54.5</f>
        <v>126.3</v>
      </c>
      <c r="E49" s="107">
        <f>D49/D45*100</f>
        <v>5.5954279638490165</v>
      </c>
      <c r="F49" s="107">
        <f t="shared" si="7"/>
        <v>36.5874855156431</v>
      </c>
      <c r="G49" s="107">
        <f t="shared" si="5"/>
        <v>14.355535348942942</v>
      </c>
      <c r="H49" s="105">
        <f t="shared" si="8"/>
        <v>218.89999999999998</v>
      </c>
      <c r="I49" s="105">
        <f t="shared" si="6"/>
        <v>753.5</v>
      </c>
      <c r="K49" s="156"/>
    </row>
    <row r="50" spans="1:11" s="93" customFormat="1" ht="18.75" thickBot="1">
      <c r="A50" s="103" t="s">
        <v>27</v>
      </c>
      <c r="B50" s="129">
        <f>B45-B46-B49-B48-B47</f>
        <v>65.7000000000001</v>
      </c>
      <c r="C50" s="129">
        <f>C45-C46-C49-C48-C47</f>
        <v>339.6999999999997</v>
      </c>
      <c r="D50" s="129">
        <f>D45-D46-D49-D48-D47</f>
        <v>28.900000000000002</v>
      </c>
      <c r="E50" s="107">
        <f>D50/D45*100</f>
        <v>1.2803473329789121</v>
      </c>
      <c r="F50" s="107">
        <f t="shared" si="7"/>
        <v>43.98782343987817</v>
      </c>
      <c r="G50" s="107">
        <f t="shared" si="5"/>
        <v>8.507506623491324</v>
      </c>
      <c r="H50" s="105">
        <f t="shared" si="8"/>
        <v>36.8000000000001</v>
      </c>
      <c r="I50" s="105">
        <f t="shared" si="6"/>
        <v>310.7999999999997</v>
      </c>
      <c r="K50" s="156"/>
    </row>
    <row r="51" spans="1:11" ht="18.75" thickBot="1">
      <c r="A51" s="20" t="s">
        <v>4</v>
      </c>
      <c r="B51" s="38">
        <v>7679.4</v>
      </c>
      <c r="C51" s="39">
        <v>37135.4</v>
      </c>
      <c r="D51" s="40">
        <f>632.9+35.2+911.5+180.2+1+93.6+110+157.4+908.3+5.2+0.4+827.7+156.7+1.3+214.8+344.6+657.7+47.5+111.7+17+80.2+154.3</f>
        <v>5649.2</v>
      </c>
      <c r="E51" s="3">
        <f>D51/D152*100</f>
        <v>1.8364591694063042</v>
      </c>
      <c r="F51" s="3">
        <f>D51/B51*100</f>
        <v>73.56303877907129</v>
      </c>
      <c r="G51" s="3">
        <f t="shared" si="5"/>
        <v>15.212438805021621</v>
      </c>
      <c r="H51" s="40">
        <f>B51-D51</f>
        <v>2030.1999999999998</v>
      </c>
      <c r="I51" s="40">
        <f t="shared" si="6"/>
        <v>31486.2</v>
      </c>
      <c r="J51" s="93"/>
      <c r="K51" s="156"/>
    </row>
    <row r="52" spans="1:11" s="93" customFormat="1" ht="18">
      <c r="A52" s="103" t="s">
        <v>3</v>
      </c>
      <c r="B52" s="128">
        <v>4489.3</v>
      </c>
      <c r="C52" s="129">
        <v>20097.4</v>
      </c>
      <c r="D52" s="105">
        <f>632.9+34.3+767.3+737.6+710.6+649.6</f>
        <v>3532.2999999999997</v>
      </c>
      <c r="E52" s="107">
        <f>D52/D51*100</f>
        <v>62.52743751327622</v>
      </c>
      <c r="F52" s="107">
        <f t="shared" si="7"/>
        <v>78.6826454012875</v>
      </c>
      <c r="G52" s="107">
        <f t="shared" si="5"/>
        <v>17.57590534098938</v>
      </c>
      <c r="H52" s="105">
        <f t="shared" si="8"/>
        <v>957.0000000000005</v>
      </c>
      <c r="I52" s="105">
        <f t="shared" si="6"/>
        <v>16565.100000000002</v>
      </c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6"/>
    </row>
    <row r="54" spans="1:11" s="93" customFormat="1" ht="18">
      <c r="A54" s="103" t="s">
        <v>1</v>
      </c>
      <c r="B54" s="128">
        <v>175.2</v>
      </c>
      <c r="C54" s="129">
        <v>993.6</v>
      </c>
      <c r="D54" s="105">
        <f>0.2+4.2+9+4.7+9.6+6.3+43.2+2.7+18.4+3.8</f>
        <v>102.10000000000001</v>
      </c>
      <c r="E54" s="107">
        <f>D54/D51*100</f>
        <v>1.8073355519365577</v>
      </c>
      <c r="F54" s="107">
        <f t="shared" si="7"/>
        <v>58.27625570776257</v>
      </c>
      <c r="G54" s="107">
        <f t="shared" si="5"/>
        <v>10.275764895330115</v>
      </c>
      <c r="H54" s="105">
        <f t="shared" si="8"/>
        <v>73.09999999999998</v>
      </c>
      <c r="I54" s="105">
        <f t="shared" si="6"/>
        <v>891.5</v>
      </c>
      <c r="K54" s="156"/>
    </row>
    <row r="55" spans="1:11" s="93" customFormat="1" ht="18">
      <c r="A55" s="103" t="s">
        <v>0</v>
      </c>
      <c r="B55" s="128">
        <v>343.9</v>
      </c>
      <c r="C55" s="129">
        <v>1219.9</v>
      </c>
      <c r="D55" s="105">
        <f>0.5+1+2.8+12.3+8.3+0.5+0.4+8.7+15+0.3+1.3+64.9+33.6+8.1+0.1+94.7</f>
        <v>252.5</v>
      </c>
      <c r="E55" s="107">
        <f>D55/D51*100</f>
        <v>4.469659420802945</v>
      </c>
      <c r="F55" s="107">
        <f t="shared" si="7"/>
        <v>73.42250654259959</v>
      </c>
      <c r="G55" s="107">
        <f t="shared" si="5"/>
        <v>20.69841790310681</v>
      </c>
      <c r="H55" s="105">
        <f t="shared" si="8"/>
        <v>91.39999999999998</v>
      </c>
      <c r="I55" s="105">
        <f t="shared" si="6"/>
        <v>967.4000000000001</v>
      </c>
      <c r="K55" s="156"/>
    </row>
    <row r="56" spans="1:11" s="93" customFormat="1" ht="18">
      <c r="A56" s="103" t="s">
        <v>14</v>
      </c>
      <c r="B56" s="128">
        <v>330</v>
      </c>
      <c r="C56" s="129">
        <v>13200</v>
      </c>
      <c r="D56" s="129">
        <f>110+110+110</f>
        <v>330</v>
      </c>
      <c r="E56" s="107">
        <f>D56/D51*100</f>
        <v>5.84153508461375</v>
      </c>
      <c r="F56" s="107">
        <f>D56/B56*100</f>
        <v>100</v>
      </c>
      <c r="G56" s="107">
        <f>D56/C56*100</f>
        <v>2.5</v>
      </c>
      <c r="H56" s="105">
        <f t="shared" si="8"/>
        <v>0</v>
      </c>
      <c r="I56" s="105">
        <f t="shared" si="6"/>
        <v>12870</v>
      </c>
      <c r="K56" s="156"/>
    </row>
    <row r="57" spans="1:11" s="93" customFormat="1" ht="18.75" thickBot="1">
      <c r="A57" s="103" t="s">
        <v>27</v>
      </c>
      <c r="B57" s="129">
        <f>B51-B52-B55-B54-B53-B56</f>
        <v>2340.9999999999995</v>
      </c>
      <c r="C57" s="129">
        <f>C51-C52-C55-C54-C53-C56</f>
        <v>1610.6000000000004</v>
      </c>
      <c r="D57" s="129">
        <f>D51-D52-D55-D54-D53-D56</f>
        <v>1432.3000000000002</v>
      </c>
      <c r="E57" s="107">
        <f>D57/D51*100</f>
        <v>25.354032429370534</v>
      </c>
      <c r="F57" s="107">
        <f t="shared" si="7"/>
        <v>61.18325501922257</v>
      </c>
      <c r="G57" s="107">
        <f t="shared" si="5"/>
        <v>88.92959145660002</v>
      </c>
      <c r="H57" s="105">
        <f>B57-D57</f>
        <v>908.6999999999994</v>
      </c>
      <c r="I57" s="105">
        <f>C57-D57</f>
        <v>178.30000000000018</v>
      </c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6">
        <f>C58-B58</f>
        <v>0</v>
      </c>
    </row>
    <row r="59" spans="1:11" ht="18.75" thickBot="1">
      <c r="A59" s="20" t="s">
        <v>6</v>
      </c>
      <c r="B59" s="38">
        <v>972.7</v>
      </c>
      <c r="C59" s="39">
        <v>9264.2</v>
      </c>
      <c r="D59" s="40">
        <f>87.7+79.1+87.8+43.2+40.5+47.6+13+155.9+18+2.1+84.2+29.6+0.7+0.5</f>
        <v>689.9000000000002</v>
      </c>
      <c r="E59" s="3">
        <f>D59/D152*100</f>
        <v>0.22427479660366242</v>
      </c>
      <c r="F59" s="3">
        <f>D59/B59*100</f>
        <v>70.92628765292487</v>
      </c>
      <c r="G59" s="3">
        <f t="shared" si="5"/>
        <v>7.446946309449279</v>
      </c>
      <c r="H59" s="40">
        <f>B59-D59</f>
        <v>282.79999999999984</v>
      </c>
      <c r="I59" s="40">
        <f t="shared" si="6"/>
        <v>8574.300000000001</v>
      </c>
      <c r="J59" s="93"/>
      <c r="K59" s="156"/>
    </row>
    <row r="60" spans="1:11" s="93" customFormat="1" ht="18">
      <c r="A60" s="103" t="s">
        <v>3</v>
      </c>
      <c r="B60" s="128">
        <v>747.3</v>
      </c>
      <c r="C60" s="129">
        <v>3119.7</v>
      </c>
      <c r="D60" s="105">
        <f>77.7+79.1+76.9+40.5+47.3+155.9+45+29.2</f>
        <v>551.6000000000001</v>
      </c>
      <c r="E60" s="107">
        <f>D60/D59*100</f>
        <v>79.95361646615451</v>
      </c>
      <c r="F60" s="107">
        <f t="shared" si="7"/>
        <v>73.81239127525761</v>
      </c>
      <c r="G60" s="107">
        <f t="shared" si="5"/>
        <v>17.681187293650037</v>
      </c>
      <c r="H60" s="105">
        <f t="shared" si="8"/>
        <v>195.69999999999982</v>
      </c>
      <c r="I60" s="105">
        <f t="shared" si="6"/>
        <v>2568.0999999999995</v>
      </c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K61" s="156"/>
    </row>
    <row r="62" spans="1:11" s="93" customFormat="1" ht="18">
      <c r="A62" s="103" t="s">
        <v>0</v>
      </c>
      <c r="B62" s="128">
        <v>153.9</v>
      </c>
      <c r="C62" s="129">
        <v>393.7</v>
      </c>
      <c r="D62" s="105">
        <f>10.9+43.2+13-3+39.2</f>
        <v>103.3</v>
      </c>
      <c r="E62" s="107">
        <f>D62/D59*100</f>
        <v>14.973184519495575</v>
      </c>
      <c r="F62" s="107">
        <f t="shared" si="7"/>
        <v>67.12150747238465</v>
      </c>
      <c r="G62" s="107">
        <f t="shared" si="5"/>
        <v>26.238252476504954</v>
      </c>
      <c r="H62" s="105">
        <f t="shared" si="8"/>
        <v>50.60000000000001</v>
      </c>
      <c r="I62" s="105">
        <f t="shared" si="6"/>
        <v>290.4</v>
      </c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>
        <v>0</v>
      </c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K63" s="156"/>
    </row>
    <row r="64" spans="1:11" s="93" customFormat="1" ht="18.75" thickBot="1">
      <c r="A64" s="103" t="s">
        <v>27</v>
      </c>
      <c r="B64" s="129">
        <f>B59-B60-B62-B63-B61</f>
        <v>71.50000000000009</v>
      </c>
      <c r="C64" s="129">
        <f>C59-C60-C62-C63-C61</f>
        <v>523.5000000000007</v>
      </c>
      <c r="D64" s="129">
        <f>D59-D60-D62-D63-D61</f>
        <v>35.00000000000007</v>
      </c>
      <c r="E64" s="107">
        <f>D64/D59*100</f>
        <v>5.073199014349915</v>
      </c>
      <c r="F64" s="107">
        <f t="shared" si="7"/>
        <v>48.95104895104899</v>
      </c>
      <c r="G64" s="107">
        <f t="shared" si="5"/>
        <v>6.685768863419297</v>
      </c>
      <c r="H64" s="105">
        <f t="shared" si="8"/>
        <v>36.500000000000014</v>
      </c>
      <c r="I64" s="105">
        <f t="shared" si="6"/>
        <v>488.5000000000006</v>
      </c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6">
        <f>C68-B68</f>
        <v>0</v>
      </c>
    </row>
    <row r="69" spans="1:11" ht="18.75" thickBot="1">
      <c r="A69" s="20" t="s">
        <v>20</v>
      </c>
      <c r="B69" s="39">
        <f>B70+B71</f>
        <v>243.5</v>
      </c>
      <c r="C69" s="39">
        <f>C70+C71</f>
        <v>585.9000000000001</v>
      </c>
      <c r="D69" s="40">
        <f>D70+D71</f>
        <v>169.5</v>
      </c>
      <c r="E69" s="30">
        <f>D69/D152*100</f>
        <v>0.05510157707540335</v>
      </c>
      <c r="F69" s="3">
        <f>D69/B69*100</f>
        <v>69.60985626283367</v>
      </c>
      <c r="G69" s="3">
        <f t="shared" si="5"/>
        <v>28.92985151049667</v>
      </c>
      <c r="H69" s="40">
        <f>B69-D69</f>
        <v>74</v>
      </c>
      <c r="I69" s="40">
        <f t="shared" si="6"/>
        <v>416.4000000000001</v>
      </c>
      <c r="J69" s="93"/>
      <c r="K69" s="156"/>
    </row>
    <row r="70" spans="1:11" s="93" customFormat="1" ht="18">
      <c r="A70" s="103" t="s">
        <v>8</v>
      </c>
      <c r="B70" s="128">
        <v>169.5</v>
      </c>
      <c r="C70" s="129">
        <v>219.5</v>
      </c>
      <c r="D70" s="105">
        <v>169.5</v>
      </c>
      <c r="E70" s="107">
        <f>D70/D69*100</f>
        <v>100</v>
      </c>
      <c r="F70" s="107">
        <f t="shared" si="7"/>
        <v>100</v>
      </c>
      <c r="G70" s="107">
        <f t="shared" si="5"/>
        <v>77.22095671981776</v>
      </c>
      <c r="H70" s="105">
        <f t="shared" si="8"/>
        <v>0</v>
      </c>
      <c r="I70" s="105">
        <f t="shared" si="6"/>
        <v>50</v>
      </c>
      <c r="K70" s="156"/>
    </row>
    <row r="71" spans="1:11" s="93" customFormat="1" ht="18.75" thickBot="1">
      <c r="A71" s="103" t="s">
        <v>9</v>
      </c>
      <c r="B71" s="128">
        <v>74</v>
      </c>
      <c r="C71" s="129">
        <f>331.6+34.8</f>
        <v>366.40000000000003</v>
      </c>
      <c r="D71" s="105"/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74</v>
      </c>
      <c r="I71" s="105">
        <f t="shared" si="6"/>
        <v>366.40000000000003</v>
      </c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D72/D152*100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6"/>
    </row>
    <row r="77" spans="1:11" s="32" customFormat="1" ht="18.75" thickBot="1">
      <c r="A77" s="23" t="s">
        <v>13</v>
      </c>
      <c r="B77" s="46">
        <v>4250</v>
      </c>
      <c r="C77" s="53">
        <v>17000</v>
      </c>
      <c r="D77" s="54"/>
      <c r="E77" s="34"/>
      <c r="F77" s="34"/>
      <c r="G77" s="34"/>
      <c r="H77" s="54">
        <f>B77-D77</f>
        <v>4250</v>
      </c>
      <c r="I77" s="54">
        <f t="shared" si="6"/>
        <v>17000</v>
      </c>
      <c r="J77" s="94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D79/D152*100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8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8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8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8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D84/D152*100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D87/D152*100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6"/>
    </row>
    <row r="90" spans="1:11" ht="18.75" thickBot="1">
      <c r="A90" s="12" t="s">
        <v>10</v>
      </c>
      <c r="B90" s="45">
        <f>51010.8+46.7</f>
        <v>51057.5</v>
      </c>
      <c r="C90" s="39">
        <v>200580.6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</f>
        <v>35401.90000000001</v>
      </c>
      <c r="E90" s="3">
        <f>D90/D152*100</f>
        <v>11.508557648765324</v>
      </c>
      <c r="F90" s="3">
        <f aca="true" t="shared" si="11" ref="F90:F96">D90/B90*100</f>
        <v>69.33731577143418</v>
      </c>
      <c r="G90" s="3">
        <f t="shared" si="9"/>
        <v>17.649712883499205</v>
      </c>
      <c r="H90" s="40">
        <f aca="true" t="shared" si="12" ref="H90:H96">B90-D90</f>
        <v>15655.599999999991</v>
      </c>
      <c r="I90" s="40">
        <f t="shared" si="10"/>
        <v>165178.7</v>
      </c>
      <c r="J90" s="93"/>
      <c r="K90" s="156"/>
    </row>
    <row r="91" spans="1:11" s="93" customFormat="1" ht="18">
      <c r="A91" s="103" t="s">
        <v>3</v>
      </c>
      <c r="B91" s="128">
        <f>47976.6</f>
        <v>47976.6</v>
      </c>
      <c r="C91" s="129">
        <v>190000</v>
      </c>
      <c r="D91" s="105">
        <f>3071.3+1190.01+77.9+810.1+1179.1+5434.9+841.3+37+143.9+8.8+37.8+16.1+28.3+518.4+4342.6+40+45.8+973+734.6+5248.7+3382.5+52.7+9.8+18.7+6.1+92.1+475.7+4462.8+595+196.7</f>
        <v>34071.70999999999</v>
      </c>
      <c r="E91" s="107">
        <f>D91/D90*100</f>
        <v>96.24260279815485</v>
      </c>
      <c r="F91" s="107">
        <f t="shared" si="11"/>
        <v>71.01735012485251</v>
      </c>
      <c r="G91" s="107">
        <f t="shared" si="9"/>
        <v>17.932478947368416</v>
      </c>
      <c r="H91" s="105">
        <f t="shared" si="12"/>
        <v>13904.890000000007</v>
      </c>
      <c r="I91" s="105">
        <f t="shared" si="10"/>
        <v>155928.29</v>
      </c>
      <c r="K91" s="156"/>
    </row>
    <row r="92" spans="1:11" s="93" customFormat="1" ht="18">
      <c r="A92" s="103" t="s">
        <v>25</v>
      </c>
      <c r="B92" s="128">
        <v>1089.3</v>
      </c>
      <c r="C92" s="129">
        <v>2776.4</v>
      </c>
      <c r="D92" s="105">
        <f>57.2+3.4+167+1.4+0.3+83.4+86.9+53.1+5.3+4.7</f>
        <v>462.70000000000005</v>
      </c>
      <c r="E92" s="107">
        <f>D92/D90*100</f>
        <v>1.306991997604648</v>
      </c>
      <c r="F92" s="107">
        <f t="shared" si="11"/>
        <v>42.476819976131466</v>
      </c>
      <c r="G92" s="107">
        <f t="shared" si="9"/>
        <v>16.665466071171302</v>
      </c>
      <c r="H92" s="105">
        <f t="shared" si="12"/>
        <v>626.5999999999999</v>
      </c>
      <c r="I92" s="105">
        <f t="shared" si="10"/>
        <v>2313.7</v>
      </c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1991.6000000000015</v>
      </c>
      <c r="C94" s="129">
        <f>C90-C91-C92-C93</f>
        <v>7804.200000000006</v>
      </c>
      <c r="D94" s="129">
        <f>D90-D91-D92-D93</f>
        <v>867.4900000000168</v>
      </c>
      <c r="E94" s="107">
        <f>D94/D90*100</f>
        <v>2.4504052042404973</v>
      </c>
      <c r="F94" s="107">
        <f t="shared" si="11"/>
        <v>43.55744125326452</v>
      </c>
      <c r="G94" s="107">
        <f>D94/C94*100</f>
        <v>11.115681299813128</v>
      </c>
      <c r="H94" s="105">
        <f t="shared" si="12"/>
        <v>1124.1099999999847</v>
      </c>
      <c r="I94" s="105">
        <f>C94-D94</f>
        <v>6936.709999999989</v>
      </c>
      <c r="K94" s="156"/>
    </row>
    <row r="95" spans="1:11" ht="18">
      <c r="A95" s="82" t="s">
        <v>12</v>
      </c>
      <c r="B95" s="91">
        <f>11463.9+100</f>
        <v>11563.9</v>
      </c>
      <c r="C95" s="85">
        <v>46414.5</v>
      </c>
      <c r="D95" s="84">
        <f>627.6+194.6+194.6+1234+510.7+28.2+0.5+182.1+337.6+34.8+102.9+588.2+1248.7+97.9+0.7+344.5+13.1+160.3+129.6</f>
        <v>6030.6</v>
      </c>
      <c r="E95" s="81">
        <f>D95/D152*100</f>
        <v>1.9604458449022268</v>
      </c>
      <c r="F95" s="83">
        <f t="shared" si="11"/>
        <v>52.15022613478152</v>
      </c>
      <c r="G95" s="80">
        <f>D95/C95*100</f>
        <v>12.992922470348706</v>
      </c>
      <c r="H95" s="84">
        <f t="shared" si="12"/>
        <v>5533.299999999999</v>
      </c>
      <c r="I95" s="87">
        <f>C95-D95</f>
        <v>40383.9</v>
      </c>
      <c r="J95" s="93"/>
      <c r="K95" s="156"/>
    </row>
    <row r="96" spans="1:11" s="93" customFormat="1" ht="18.75" thickBot="1">
      <c r="A96" s="131" t="s">
        <v>83</v>
      </c>
      <c r="B96" s="132">
        <v>3838.6</v>
      </c>
      <c r="C96" s="133">
        <v>12814.2</v>
      </c>
      <c r="D96" s="134">
        <f>194.6+1234+3.4+0.5+79.6+1026.4+0.7</f>
        <v>2539.2</v>
      </c>
      <c r="E96" s="135">
        <f>D96/D95*100</f>
        <v>42.105263157894726</v>
      </c>
      <c r="F96" s="136">
        <f t="shared" si="11"/>
        <v>66.14911686552388</v>
      </c>
      <c r="G96" s="137">
        <f>D96/C96*100</f>
        <v>19.8155171606499</v>
      </c>
      <c r="H96" s="138">
        <f t="shared" si="12"/>
        <v>1299.4</v>
      </c>
      <c r="I96" s="127">
        <f>C96-D96</f>
        <v>10275</v>
      </c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D98/D152*100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D100/D152*100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9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6">
        <f t="shared" si="13"/>
        <v>0</v>
      </c>
    </row>
    <row r="102" spans="1:11" s="32" customFormat="1" ht="18.75" thickBot="1">
      <c r="A102" s="12" t="s">
        <v>11</v>
      </c>
      <c r="B102" s="90">
        <v>2832.4</v>
      </c>
      <c r="C102" s="70">
        <v>11266.5</v>
      </c>
      <c r="D102" s="65">
        <f>144.5+120.5+0.1+30.9+51.6+143.8+13.5+25.2+149.6+13.2+89.8+139.8+98.3+5.4+242.1+58</f>
        <v>1326.3</v>
      </c>
      <c r="E102" s="17">
        <f>D102/D152*100</f>
        <v>0.43115765000063394</v>
      </c>
      <c r="F102" s="17">
        <f>D102/B102*100</f>
        <v>46.826013274961156</v>
      </c>
      <c r="G102" s="17">
        <f aca="true" t="shared" si="14" ref="G102:G150">D102/C102*100</f>
        <v>11.772067634136599</v>
      </c>
      <c r="H102" s="65">
        <f aca="true" t="shared" si="15" ref="H102:H107">B102-D102</f>
        <v>1506.1000000000001</v>
      </c>
      <c r="I102" s="65">
        <f aca="true" t="shared" si="16" ref="I102:I150">C102-D102</f>
        <v>9940.2</v>
      </c>
      <c r="J102" s="94"/>
      <c r="K102" s="156"/>
    </row>
    <row r="103" spans="1:11" s="93" customFormat="1" ht="18.75" customHeight="1">
      <c r="A103" s="103" t="s">
        <v>3</v>
      </c>
      <c r="B103" s="120">
        <v>36.4</v>
      </c>
      <c r="C103" s="121">
        <v>363.8</v>
      </c>
      <c r="D103" s="121"/>
      <c r="E103" s="122">
        <f>D103/D102*100</f>
        <v>0</v>
      </c>
      <c r="F103" s="107">
        <f>D103/B103*100</f>
        <v>0</v>
      </c>
      <c r="G103" s="122">
        <f>D103/C103*100</f>
        <v>0</v>
      </c>
      <c r="H103" s="121">
        <f t="shared" si="15"/>
        <v>36.4</v>
      </c>
      <c r="I103" s="121">
        <f t="shared" si="16"/>
        <v>363.8</v>
      </c>
      <c r="K103" s="156"/>
    </row>
    <row r="104" spans="1:11" s="93" customFormat="1" ht="18">
      <c r="A104" s="123" t="s">
        <v>48</v>
      </c>
      <c r="B104" s="104">
        <v>2487.3</v>
      </c>
      <c r="C104" s="105">
        <v>8949.2</v>
      </c>
      <c r="D104" s="105">
        <f>144.4+120.5+0.1+30.9+51.6+143.7+13.5+25.2+149.6+13.2+89.8+139.7+98.3+5.4+242.1+58</f>
        <v>1326</v>
      </c>
      <c r="E104" s="107">
        <f>D104/D102*100</f>
        <v>99.97738068310338</v>
      </c>
      <c r="F104" s="107">
        <f aca="true" t="shared" si="17" ref="F104:F150">D104/B104*100</f>
        <v>53.310818960318414</v>
      </c>
      <c r="G104" s="107">
        <f t="shared" si="14"/>
        <v>14.816966879721091</v>
      </c>
      <c r="H104" s="105">
        <f t="shared" si="15"/>
        <v>1161.3000000000002</v>
      </c>
      <c r="I104" s="105">
        <f t="shared" si="16"/>
        <v>7623.200000000001</v>
      </c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K105" s="156"/>
    </row>
    <row r="106" spans="1:11" s="93" customFormat="1" ht="18.75" thickBot="1">
      <c r="A106" s="124" t="s">
        <v>27</v>
      </c>
      <c r="B106" s="125">
        <f>B102-B103-B104</f>
        <v>308.6999999999998</v>
      </c>
      <c r="C106" s="125">
        <f>C102-C103-C104</f>
        <v>1953.5</v>
      </c>
      <c r="D106" s="125">
        <f>D102-D103-D104</f>
        <v>0.2999999999999545</v>
      </c>
      <c r="E106" s="126">
        <f>D106/D102*100</f>
        <v>0.022619316896626294</v>
      </c>
      <c r="F106" s="126">
        <f t="shared" si="17"/>
        <v>0.09718172983477638</v>
      </c>
      <c r="G106" s="126">
        <f t="shared" si="14"/>
        <v>0.015357051446120016</v>
      </c>
      <c r="H106" s="127">
        <f>B106-D106</f>
        <v>308.39999999999986</v>
      </c>
      <c r="I106" s="127">
        <f t="shared" si="16"/>
        <v>1953.2</v>
      </c>
      <c r="K106" s="156"/>
    </row>
    <row r="107" spans="1:12" s="2" customFormat="1" ht="26.25" customHeight="1" thickBot="1">
      <c r="A107" s="66" t="s">
        <v>28</v>
      </c>
      <c r="B107" s="67">
        <f>SUM(B108:B149)-B115-B119+B150-B140-B141-B109-B112-B122-B123-B138-B131-B129-B136</f>
        <v>72329.4</v>
      </c>
      <c r="C107" s="67">
        <f>SUM(C108:C149)-C115-C119+C150-C140-C141-C109-C112-C122-C123-C138-C131-C129-C136</f>
        <v>490507.9</v>
      </c>
      <c r="D107" s="67">
        <f>SUM(D108:D149)-D115-D119+D150-D140-D141-D109-D112-D122-D123-D138-D131-D129-D136</f>
        <v>26475.6</v>
      </c>
      <c r="E107" s="68">
        <f>D107/D152*100</f>
        <v>8.606768814262825</v>
      </c>
      <c r="F107" s="68">
        <f>D107/B107*100</f>
        <v>36.60420244050137</v>
      </c>
      <c r="G107" s="68">
        <f t="shared" si="14"/>
        <v>5.3975889073346215</v>
      </c>
      <c r="H107" s="67">
        <f t="shared" si="15"/>
        <v>45853.799999999996</v>
      </c>
      <c r="I107" s="67">
        <f t="shared" si="16"/>
        <v>464032.30000000005</v>
      </c>
      <c r="J107" s="115"/>
      <c r="K107" s="156"/>
      <c r="L107" s="96"/>
    </row>
    <row r="108" spans="1:12" s="93" customFormat="1" ht="36.75">
      <c r="A108" s="97" t="s">
        <v>52</v>
      </c>
      <c r="B108" s="98">
        <f>679.7+533</f>
        <v>1212.7</v>
      </c>
      <c r="C108" s="162">
        <v>4459</v>
      </c>
      <c r="D108" s="99">
        <f>17.1+81.1+17.3+60.5+173.3+3.4+2+0.4+29.3+1.7+177.1+0.8+38.8+139.8+0.3+1.9+1.8</f>
        <v>746.5999999999998</v>
      </c>
      <c r="E108" s="100">
        <f>D108/D107*100</f>
        <v>2.8199549774131647</v>
      </c>
      <c r="F108" s="100">
        <f t="shared" si="17"/>
        <v>61.565102663478164</v>
      </c>
      <c r="G108" s="100">
        <f t="shared" si="14"/>
        <v>16.743664498766535</v>
      </c>
      <c r="H108" s="101">
        <f aca="true" t="shared" si="18" ref="H108:H150">B108-D108</f>
        <v>466.10000000000025</v>
      </c>
      <c r="I108" s="101">
        <f t="shared" si="16"/>
        <v>3712.4</v>
      </c>
      <c r="K108" s="156"/>
      <c r="L108" s="102"/>
    </row>
    <row r="109" spans="1:12" s="93" customFormat="1" ht="18">
      <c r="A109" s="103" t="s">
        <v>25</v>
      </c>
      <c r="B109" s="104">
        <f>289.6+204.8+5.2+74.7</f>
        <v>574.3000000000001</v>
      </c>
      <c r="C109" s="105">
        <v>1995</v>
      </c>
      <c r="D109" s="106">
        <f>47.8+0.9+59.7+88.3+0.1+59.2+38.8+107.4</f>
        <v>402.20000000000005</v>
      </c>
      <c r="E109" s="107">
        <f>D109/D108*100</f>
        <v>53.87088132869008</v>
      </c>
      <c r="F109" s="107">
        <f t="shared" si="17"/>
        <v>70.03308375413548</v>
      </c>
      <c r="G109" s="107">
        <f t="shared" si="14"/>
        <v>20.16040100250627</v>
      </c>
      <c r="H109" s="105">
        <f t="shared" si="18"/>
        <v>172.10000000000002</v>
      </c>
      <c r="I109" s="105">
        <f t="shared" si="16"/>
        <v>1592.8</v>
      </c>
      <c r="K109" s="156"/>
      <c r="L109" s="102"/>
    </row>
    <row r="110" spans="1:12" s="93" customFormat="1" ht="34.5" customHeight="1" hidden="1">
      <c r="A110" s="108" t="s">
        <v>78</v>
      </c>
      <c r="B110" s="109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6"/>
      <c r="L110" s="102"/>
    </row>
    <row r="111" spans="1:12" s="94" customFormat="1" ht="34.5" customHeight="1">
      <c r="A111" s="108" t="s">
        <v>93</v>
      </c>
      <c r="B111" s="109">
        <v>14.9</v>
      </c>
      <c r="C111" s="110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14.9</v>
      </c>
      <c r="I111" s="101">
        <f t="shared" si="16"/>
        <v>200</v>
      </c>
      <c r="K111" s="156"/>
      <c r="L111" s="102"/>
    </row>
    <row r="112" spans="1:12" s="93" customFormat="1" ht="18" hidden="1">
      <c r="A112" s="103" t="s">
        <v>25</v>
      </c>
      <c r="B112" s="104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6"/>
      <c r="L112" s="102"/>
    </row>
    <row r="113" spans="1:12" s="93" customFormat="1" ht="18">
      <c r="A113" s="108" t="s">
        <v>89</v>
      </c>
      <c r="B113" s="109">
        <v>15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15</v>
      </c>
      <c r="I113" s="101">
        <f t="shared" si="16"/>
        <v>64.3</v>
      </c>
      <c r="K113" s="156"/>
      <c r="L113" s="102"/>
    </row>
    <row r="114" spans="1:12" s="93" customFormat="1" ht="36.75">
      <c r="A114" s="108" t="s">
        <v>38</v>
      </c>
      <c r="B114" s="109">
        <v>842.1</v>
      </c>
      <c r="C114" s="101">
        <v>3311.5</v>
      </c>
      <c r="D114" s="99">
        <f>136.4+10+40+6.6+6.1+0.2+177.4+10+1.8+25.1+29.4+48.1</f>
        <v>491.1</v>
      </c>
      <c r="E114" s="100">
        <f>D114/D107*100</f>
        <v>1.8549154693378054</v>
      </c>
      <c r="F114" s="100">
        <f t="shared" si="17"/>
        <v>58.31848949055932</v>
      </c>
      <c r="G114" s="100">
        <f t="shared" si="14"/>
        <v>14.830137399969804</v>
      </c>
      <c r="H114" s="101">
        <f t="shared" si="18"/>
        <v>351</v>
      </c>
      <c r="I114" s="101">
        <f t="shared" si="16"/>
        <v>2820.4</v>
      </c>
      <c r="K114" s="156"/>
      <c r="L114" s="102"/>
    </row>
    <row r="115" spans="1:12" s="93" customFormat="1" ht="18" hidden="1">
      <c r="A115" s="113" t="s">
        <v>43</v>
      </c>
      <c r="B115" s="104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6"/>
      <c r="L115" s="102"/>
    </row>
    <row r="116" spans="1:12" s="94" customFormat="1" ht="18.75" customHeight="1" hidden="1">
      <c r="A116" s="108" t="s">
        <v>90</v>
      </c>
      <c r="B116" s="109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K116" s="156"/>
      <c r="L116" s="102"/>
    </row>
    <row r="117" spans="1:12" s="93" customFormat="1" ht="36.75">
      <c r="A117" s="108" t="s">
        <v>47</v>
      </c>
      <c r="B117" s="109">
        <v>106</v>
      </c>
      <c r="C117" s="101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106</v>
      </c>
      <c r="I117" s="101">
        <f t="shared" si="16"/>
        <v>200</v>
      </c>
      <c r="K117" s="156"/>
      <c r="L117" s="102"/>
    </row>
    <row r="118" spans="1:12" s="115" customFormat="1" ht="18">
      <c r="A118" s="108" t="s">
        <v>15</v>
      </c>
      <c r="B118" s="109">
        <v>156</v>
      </c>
      <c r="C118" s="110">
        <v>491.6</v>
      </c>
      <c r="D118" s="99">
        <f>45.4+9.9+47+6.4+0.4+0.4</f>
        <v>109.50000000000001</v>
      </c>
      <c r="E118" s="100">
        <f>D118/D107*100</f>
        <v>0.4135883606037258</v>
      </c>
      <c r="F118" s="100">
        <f t="shared" si="17"/>
        <v>70.1923076923077</v>
      </c>
      <c r="G118" s="100">
        <f t="shared" si="14"/>
        <v>22.274206672091132</v>
      </c>
      <c r="H118" s="101">
        <f t="shared" si="18"/>
        <v>46.499999999999986</v>
      </c>
      <c r="I118" s="101">
        <f t="shared" si="16"/>
        <v>382.1</v>
      </c>
      <c r="K118" s="156"/>
      <c r="L118" s="102"/>
    </row>
    <row r="119" spans="1:12" s="116" customFormat="1" ht="18">
      <c r="A119" s="113" t="s">
        <v>43</v>
      </c>
      <c r="B119" s="104">
        <f>111.7+24.6</f>
        <v>136.3</v>
      </c>
      <c r="C119" s="105">
        <v>408.8</v>
      </c>
      <c r="D119" s="106">
        <f>45.4+45.4</f>
        <v>90.8</v>
      </c>
      <c r="E119" s="107">
        <f>D119/D118*100</f>
        <v>82.92237442922374</v>
      </c>
      <c r="F119" s="107">
        <f t="shared" si="17"/>
        <v>66.61775495231107</v>
      </c>
      <c r="G119" s="107">
        <f t="shared" si="14"/>
        <v>22.211350293542072</v>
      </c>
      <c r="H119" s="105">
        <f t="shared" si="18"/>
        <v>45.500000000000014</v>
      </c>
      <c r="I119" s="105">
        <f t="shared" si="16"/>
        <v>318</v>
      </c>
      <c r="K119" s="156"/>
      <c r="L119" s="102"/>
    </row>
    <row r="120" spans="1:12" s="115" customFormat="1" ht="18">
      <c r="A120" s="108" t="s">
        <v>105</v>
      </c>
      <c r="B120" s="109">
        <v>20</v>
      </c>
      <c r="C120" s="110">
        <v>317</v>
      </c>
      <c r="D120" s="99"/>
      <c r="E120" s="100">
        <f>D120/D107*100</f>
        <v>0</v>
      </c>
      <c r="F120" s="100">
        <f t="shared" si="17"/>
        <v>0</v>
      </c>
      <c r="G120" s="100">
        <f t="shared" si="14"/>
        <v>0</v>
      </c>
      <c r="H120" s="101">
        <f t="shared" si="18"/>
        <v>20</v>
      </c>
      <c r="I120" s="101">
        <f t="shared" si="16"/>
        <v>317</v>
      </c>
      <c r="K120" s="156"/>
      <c r="L120" s="102"/>
    </row>
    <row r="121" spans="1:12" s="115" customFormat="1" ht="21.75" customHeight="1">
      <c r="A121" s="108" t="s">
        <v>94</v>
      </c>
      <c r="B121" s="109">
        <v>460</v>
      </c>
      <c r="C121" s="110">
        <f>480+80</f>
        <v>560</v>
      </c>
      <c r="D121" s="111">
        <f>12</f>
        <v>12</v>
      </c>
      <c r="E121" s="114">
        <f>D121/D107*100</f>
        <v>0.04532475184698364</v>
      </c>
      <c r="F121" s="100">
        <f t="shared" si="17"/>
        <v>2.608695652173913</v>
      </c>
      <c r="G121" s="100">
        <f t="shared" si="14"/>
        <v>2.142857142857143</v>
      </c>
      <c r="H121" s="101">
        <f t="shared" si="18"/>
        <v>448</v>
      </c>
      <c r="I121" s="101">
        <f t="shared" si="16"/>
        <v>548</v>
      </c>
      <c r="K121" s="156"/>
      <c r="L121" s="102"/>
    </row>
    <row r="122" spans="1:12" s="118" customFormat="1" ht="18" hidden="1">
      <c r="A122" s="103" t="s">
        <v>80</v>
      </c>
      <c r="B122" s="104"/>
      <c r="C122" s="10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6"/>
      <c r="L122" s="102"/>
    </row>
    <row r="123" spans="1:12" s="118" customFormat="1" ht="18" hidden="1">
      <c r="A123" s="103" t="s">
        <v>49</v>
      </c>
      <c r="B123" s="104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6"/>
      <c r="L123" s="102"/>
    </row>
    <row r="124" spans="1:12" s="115" customFormat="1" ht="36.75">
      <c r="A124" s="108" t="s">
        <v>95</v>
      </c>
      <c r="B124" s="109">
        <v>11479.5</v>
      </c>
      <c r="C124" s="110">
        <v>45511.3</v>
      </c>
      <c r="D124" s="111">
        <f>3529.6+2264.3+1265.3+2996.5</f>
        <v>10055.7</v>
      </c>
      <c r="E124" s="114">
        <f>D124/D107*100</f>
        <v>37.98100892897612</v>
      </c>
      <c r="F124" s="100">
        <f t="shared" si="17"/>
        <v>87.59702077616622</v>
      </c>
      <c r="G124" s="100">
        <f t="shared" si="14"/>
        <v>22.094952242629855</v>
      </c>
      <c r="H124" s="101">
        <f t="shared" si="18"/>
        <v>1423.7999999999993</v>
      </c>
      <c r="I124" s="101">
        <f t="shared" si="16"/>
        <v>35455.600000000006</v>
      </c>
      <c r="K124" s="156"/>
      <c r="L124" s="102"/>
    </row>
    <row r="125" spans="1:12" s="115" customFormat="1" ht="18">
      <c r="A125" s="108" t="s">
        <v>91</v>
      </c>
      <c r="B125" s="109">
        <v>74.4</v>
      </c>
      <c r="C125" s="110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74.4</v>
      </c>
      <c r="I125" s="101">
        <f t="shared" si="16"/>
        <v>700</v>
      </c>
      <c r="K125" s="156"/>
      <c r="L125" s="102"/>
    </row>
    <row r="126" spans="1:12" s="115" customFormat="1" ht="36.75">
      <c r="A126" s="108" t="s">
        <v>100</v>
      </c>
      <c r="B126" s="109">
        <v>118</v>
      </c>
      <c r="C126" s="110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118</v>
      </c>
      <c r="I126" s="101">
        <f t="shared" si="16"/>
        <v>200</v>
      </c>
      <c r="K126" s="156"/>
      <c r="L126" s="102"/>
    </row>
    <row r="127" spans="1:12" s="115" customFormat="1" ht="36.75">
      <c r="A127" s="108" t="s">
        <v>85</v>
      </c>
      <c r="B127" s="109">
        <v>37</v>
      </c>
      <c r="C127" s="110">
        <v>111.1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37</v>
      </c>
      <c r="I127" s="101">
        <f t="shared" si="16"/>
        <v>111.1</v>
      </c>
      <c r="K127" s="156"/>
      <c r="L127" s="102"/>
    </row>
    <row r="128" spans="1:12" s="115" customFormat="1" ht="36.75">
      <c r="A128" s="108" t="s">
        <v>57</v>
      </c>
      <c r="B128" s="109">
        <v>135.5</v>
      </c>
      <c r="C128" s="110">
        <v>942</v>
      </c>
      <c r="D128" s="111">
        <f>7+4.2+0.1+12.3+0.2+7.1+17.8+14.9+1.7+0.1+7.4</f>
        <v>72.8</v>
      </c>
      <c r="E128" s="114">
        <f>D128/D107*100</f>
        <v>0.2749701612050341</v>
      </c>
      <c r="F128" s="100">
        <f t="shared" si="17"/>
        <v>53.72693726937269</v>
      </c>
      <c r="G128" s="100">
        <f t="shared" si="14"/>
        <v>7.7282377919320595</v>
      </c>
      <c r="H128" s="101">
        <f t="shared" si="18"/>
        <v>62.7</v>
      </c>
      <c r="I128" s="101">
        <f t="shared" si="16"/>
        <v>869.2</v>
      </c>
      <c r="K128" s="156"/>
      <c r="L128" s="102"/>
    </row>
    <row r="129" spans="1:12" s="116" customFormat="1" ht="18">
      <c r="A129" s="103" t="s">
        <v>88</v>
      </c>
      <c r="B129" s="104">
        <v>31.8</v>
      </c>
      <c r="C129" s="105">
        <v>510.8</v>
      </c>
      <c r="D129" s="106">
        <f>7+7.1</f>
        <v>14.1</v>
      </c>
      <c r="E129" s="107">
        <f>D129/D128*100</f>
        <v>19.36813186813187</v>
      </c>
      <c r="F129" s="107">
        <f>D129/B129*100</f>
        <v>44.33962264150943</v>
      </c>
      <c r="G129" s="107">
        <f t="shared" si="14"/>
        <v>2.7603758809710257</v>
      </c>
      <c r="H129" s="105">
        <f t="shared" si="18"/>
        <v>17.700000000000003</v>
      </c>
      <c r="I129" s="105">
        <f t="shared" si="16"/>
        <v>496.7</v>
      </c>
      <c r="K129" s="156"/>
      <c r="L129" s="102"/>
    </row>
    <row r="130" spans="1:12" s="115" customFormat="1" ht="36.75">
      <c r="A130" s="108" t="s">
        <v>103</v>
      </c>
      <c r="B130" s="109">
        <v>60</v>
      </c>
      <c r="C130" s="110">
        <v>485</v>
      </c>
      <c r="D130" s="111"/>
      <c r="E130" s="114">
        <f>D130/D107*100</f>
        <v>0</v>
      </c>
      <c r="F130" s="112">
        <f t="shared" si="17"/>
        <v>0</v>
      </c>
      <c r="G130" s="100">
        <f t="shared" si="14"/>
        <v>0</v>
      </c>
      <c r="H130" s="101">
        <f t="shared" si="18"/>
        <v>60</v>
      </c>
      <c r="I130" s="101">
        <f t="shared" si="16"/>
        <v>485</v>
      </c>
      <c r="K130" s="156"/>
      <c r="L130" s="102"/>
    </row>
    <row r="131" spans="1:12" s="116" customFormat="1" ht="18" hidden="1">
      <c r="A131" s="113" t="s">
        <v>43</v>
      </c>
      <c r="B131" s="104"/>
      <c r="C131" s="105"/>
      <c r="D131" s="106"/>
      <c r="E131" s="107"/>
      <c r="F131" s="107" t="e">
        <f>D131/B131*100</f>
        <v>#DIV/0!</v>
      </c>
      <c r="G131" s="107" t="e">
        <f t="shared" si="14"/>
        <v>#DIV/0!</v>
      </c>
      <c r="H131" s="105">
        <f t="shared" si="18"/>
        <v>0</v>
      </c>
      <c r="I131" s="105">
        <f t="shared" si="16"/>
        <v>0</v>
      </c>
      <c r="K131" s="156"/>
      <c r="L131" s="102"/>
    </row>
    <row r="132" spans="1:12" s="115" customFormat="1" ht="35.25" customHeight="1" hidden="1">
      <c r="A132" s="108" t="s">
        <v>102</v>
      </c>
      <c r="B132" s="109"/>
      <c r="C132" s="110"/>
      <c r="D132" s="111"/>
      <c r="E132" s="114">
        <f>D132/D107*100</f>
        <v>0</v>
      </c>
      <c r="F132" s="100" t="e">
        <f t="shared" si="17"/>
        <v>#DIV/0!</v>
      </c>
      <c r="G132" s="100" t="e">
        <f t="shared" si="14"/>
        <v>#DIV/0!</v>
      </c>
      <c r="H132" s="101">
        <f t="shared" si="18"/>
        <v>0</v>
      </c>
      <c r="I132" s="101">
        <f>C132-D132</f>
        <v>0</v>
      </c>
      <c r="K132" s="156"/>
      <c r="L132" s="102"/>
    </row>
    <row r="133" spans="1:12" s="115" customFormat="1" ht="21.75" customHeight="1" hidden="1">
      <c r="A133" s="108" t="s">
        <v>101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 t="shared" si="16"/>
        <v>0</v>
      </c>
      <c r="K133" s="156"/>
      <c r="L133" s="102"/>
    </row>
    <row r="134" spans="1:12" s="115" customFormat="1" ht="35.25" customHeight="1">
      <c r="A134" s="108" t="s">
        <v>87</v>
      </c>
      <c r="B134" s="109">
        <v>70</v>
      </c>
      <c r="C134" s="110">
        <v>383.2</v>
      </c>
      <c r="D134" s="111">
        <v>2.9</v>
      </c>
      <c r="E134" s="114">
        <f>D134/D107*100</f>
        <v>0.01095348169635438</v>
      </c>
      <c r="F134" s="100">
        <f t="shared" si="17"/>
        <v>4.142857142857142</v>
      </c>
      <c r="G134" s="100">
        <f t="shared" si="14"/>
        <v>0.75678496868476</v>
      </c>
      <c r="H134" s="101">
        <f t="shared" si="18"/>
        <v>67.1</v>
      </c>
      <c r="I134" s="101">
        <f t="shared" si="16"/>
        <v>380.3</v>
      </c>
      <c r="K134" s="173"/>
      <c r="L134" s="174"/>
    </row>
    <row r="135" spans="1:12" s="115" customFormat="1" ht="39" customHeight="1">
      <c r="A135" s="108" t="s">
        <v>54</v>
      </c>
      <c r="B135" s="109">
        <v>10</v>
      </c>
      <c r="C135" s="110">
        <v>350</v>
      </c>
      <c r="D135" s="111"/>
      <c r="E135" s="114">
        <f>D135/D107*100</f>
        <v>0</v>
      </c>
      <c r="F135" s="100">
        <f t="shared" si="17"/>
        <v>0</v>
      </c>
      <c r="G135" s="100">
        <f t="shared" si="14"/>
        <v>0</v>
      </c>
      <c r="H135" s="101">
        <f t="shared" si="18"/>
        <v>10</v>
      </c>
      <c r="I135" s="101">
        <f t="shared" si="16"/>
        <v>350</v>
      </c>
      <c r="K135" s="173"/>
      <c r="L135" s="174"/>
    </row>
    <row r="136" spans="1:12" s="116" customFormat="1" ht="18">
      <c r="A136" s="103" t="s">
        <v>88</v>
      </c>
      <c r="B136" s="104">
        <v>5</v>
      </c>
      <c r="C136" s="105">
        <v>110</v>
      </c>
      <c r="D136" s="106"/>
      <c r="E136" s="107"/>
      <c r="F136" s="100">
        <f>D136/B136*100</f>
        <v>0</v>
      </c>
      <c r="G136" s="107">
        <f>D136/C136*100</f>
        <v>0</v>
      </c>
      <c r="H136" s="105">
        <f>B136-D136</f>
        <v>5</v>
      </c>
      <c r="I136" s="105">
        <f>C136-D136</f>
        <v>110</v>
      </c>
      <c r="K136" s="173"/>
      <c r="L136" s="174"/>
    </row>
    <row r="137" spans="1:12" s="115" customFormat="1" ht="36.75" hidden="1">
      <c r="A137" s="108" t="s">
        <v>84</v>
      </c>
      <c r="B137" s="109"/>
      <c r="C137" s="110"/>
      <c r="D137" s="111"/>
      <c r="E137" s="114">
        <f>D137/D107*100</f>
        <v>0</v>
      </c>
      <c r="F137" s="100" t="e">
        <f>D137/B137*100</f>
        <v>#DIV/0!</v>
      </c>
      <c r="G137" s="100" t="e">
        <f>D137/C137*100</f>
        <v>#DIV/0!</v>
      </c>
      <c r="H137" s="101">
        <f t="shared" si="18"/>
        <v>0</v>
      </c>
      <c r="I137" s="101">
        <f t="shared" si="16"/>
        <v>0</v>
      </c>
      <c r="K137" s="173"/>
      <c r="L137" s="174"/>
    </row>
    <row r="138" spans="1:12" s="116" customFormat="1" ht="18" hidden="1">
      <c r="A138" s="103" t="s">
        <v>25</v>
      </c>
      <c r="B138" s="104"/>
      <c r="C138" s="105"/>
      <c r="D138" s="106"/>
      <c r="E138" s="107" t="e">
        <f>D138/D137*100</f>
        <v>#DIV/0!</v>
      </c>
      <c r="F138" s="107" t="e">
        <f t="shared" si="17"/>
        <v>#DIV/0!</v>
      </c>
      <c r="G138" s="107" t="e">
        <f>D138/C138*100</f>
        <v>#DIV/0!</v>
      </c>
      <c r="H138" s="105">
        <f t="shared" si="18"/>
        <v>0</v>
      </c>
      <c r="I138" s="105">
        <f t="shared" si="16"/>
        <v>0</v>
      </c>
      <c r="K138" s="173"/>
      <c r="L138" s="174"/>
    </row>
    <row r="139" spans="1:12" s="115" customFormat="1" ht="18">
      <c r="A139" s="108" t="s">
        <v>96</v>
      </c>
      <c r="B139" s="109">
        <v>421.2</v>
      </c>
      <c r="C139" s="110">
        <v>1760</v>
      </c>
      <c r="D139" s="111">
        <f>107.3+0.4+30.4+78.2+4.1+36.9</f>
        <v>257.3</v>
      </c>
      <c r="E139" s="114">
        <f>D139/D107*100</f>
        <v>0.9718382208524076</v>
      </c>
      <c r="F139" s="100">
        <f t="shared" si="17"/>
        <v>61.08736942070275</v>
      </c>
      <c r="G139" s="100">
        <f t="shared" si="14"/>
        <v>14.619318181818183</v>
      </c>
      <c r="H139" s="101">
        <f t="shared" si="18"/>
        <v>163.89999999999998</v>
      </c>
      <c r="I139" s="101">
        <f t="shared" si="16"/>
        <v>1502.7</v>
      </c>
      <c r="K139" s="173"/>
      <c r="L139" s="174"/>
    </row>
    <row r="140" spans="1:12" s="116" customFormat="1" ht="18">
      <c r="A140" s="113" t="s">
        <v>43</v>
      </c>
      <c r="B140" s="104">
        <f>285.3+62.8</f>
        <v>348.1</v>
      </c>
      <c r="C140" s="105">
        <v>1437.4</v>
      </c>
      <c r="D140" s="106">
        <f>107.3+25.4+76+34</f>
        <v>242.7</v>
      </c>
      <c r="E140" s="107">
        <f>D140/D139*100</f>
        <v>94.32568985619898</v>
      </c>
      <c r="F140" s="107">
        <f aca="true" t="shared" si="19" ref="F140:F149">D140/B140*100</f>
        <v>69.72134444125251</v>
      </c>
      <c r="G140" s="107">
        <f t="shared" si="14"/>
        <v>16.88465284541533</v>
      </c>
      <c r="H140" s="105">
        <f t="shared" si="18"/>
        <v>105.40000000000003</v>
      </c>
      <c r="I140" s="105">
        <f t="shared" si="16"/>
        <v>1194.7</v>
      </c>
      <c r="K140" s="173"/>
      <c r="L140" s="174"/>
    </row>
    <row r="141" spans="1:13" s="116" customFormat="1" ht="18">
      <c r="A141" s="103" t="s">
        <v>25</v>
      </c>
      <c r="B141" s="104">
        <f>18.7+0.2+3</f>
        <v>21.9</v>
      </c>
      <c r="C141" s="105">
        <v>40</v>
      </c>
      <c r="D141" s="106">
        <f>0.4+4.9+0.7</f>
        <v>6.000000000000001</v>
      </c>
      <c r="E141" s="107">
        <f>D141/D139*100</f>
        <v>2.3319082782743883</v>
      </c>
      <c r="F141" s="107">
        <f t="shared" si="19"/>
        <v>27.397260273972606</v>
      </c>
      <c r="G141" s="107">
        <f>D141/C141*100</f>
        <v>15.000000000000002</v>
      </c>
      <c r="H141" s="105">
        <f t="shared" si="18"/>
        <v>15.899999999999999</v>
      </c>
      <c r="I141" s="105">
        <f t="shared" si="16"/>
        <v>34</v>
      </c>
      <c r="K141" s="173"/>
      <c r="L141" s="174"/>
      <c r="M141" s="157"/>
    </row>
    <row r="142" spans="1:12" s="115" customFormat="1" ht="33.75" customHeight="1" hidden="1">
      <c r="A142" s="119" t="s">
        <v>56</v>
      </c>
      <c r="B142" s="109"/>
      <c r="C142" s="110"/>
      <c r="D142" s="111"/>
      <c r="E142" s="114">
        <f>D142/D107*100</f>
        <v>0</v>
      </c>
      <c r="F142" s="100" t="e">
        <f t="shared" si="19"/>
        <v>#DIV/0!</v>
      </c>
      <c r="G142" s="100" t="e">
        <f t="shared" si="14"/>
        <v>#DIV/0!</v>
      </c>
      <c r="H142" s="101">
        <f t="shared" si="18"/>
        <v>0</v>
      </c>
      <c r="I142" s="101">
        <f t="shared" si="16"/>
        <v>0</v>
      </c>
      <c r="K142" s="173"/>
      <c r="L142" s="174"/>
    </row>
    <row r="143" spans="1:12" s="115" customFormat="1" ht="18" hidden="1">
      <c r="A143" s="119" t="s">
        <v>92</v>
      </c>
      <c r="B143" s="109"/>
      <c r="C143" s="110"/>
      <c r="D143" s="111"/>
      <c r="E143" s="114">
        <f>D143/D107*100</f>
        <v>0</v>
      </c>
      <c r="F143" s="100" t="e">
        <f>D143/B143*100</f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K143" s="173"/>
      <c r="L143" s="174"/>
    </row>
    <row r="144" spans="1:12" s="115" customFormat="1" ht="18">
      <c r="A144" s="119" t="s">
        <v>97</v>
      </c>
      <c r="B144" s="109">
        <f>10549.3-100</f>
        <v>10449.3</v>
      </c>
      <c r="C144" s="110">
        <v>56447.1</v>
      </c>
      <c r="D144" s="111">
        <f>254.7+197.5+629.8+725.8+539.8+84+74.2+508.7+16.5+120.5</f>
        <v>3151.4999999999995</v>
      </c>
      <c r="E144" s="114">
        <f>D144/D107*100</f>
        <v>11.903412953814078</v>
      </c>
      <c r="F144" s="100">
        <f t="shared" si="19"/>
        <v>30.159915018230883</v>
      </c>
      <c r="G144" s="100">
        <f t="shared" si="14"/>
        <v>5.583103472100426</v>
      </c>
      <c r="H144" s="101">
        <f t="shared" si="18"/>
        <v>7297.799999999999</v>
      </c>
      <c r="I144" s="101">
        <f t="shared" si="16"/>
        <v>53295.6</v>
      </c>
      <c r="K144" s="173"/>
      <c r="L144" s="174"/>
    </row>
    <row r="145" spans="1:12" s="115" customFormat="1" ht="18" hidden="1">
      <c r="A145" s="119" t="s">
        <v>86</v>
      </c>
      <c r="B145" s="109"/>
      <c r="C145" s="110"/>
      <c r="D145" s="111"/>
      <c r="E145" s="114">
        <f>D145/D107*100</f>
        <v>0</v>
      </c>
      <c r="F145" s="100" t="e">
        <f t="shared" si="19"/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73"/>
      <c r="L145" s="174"/>
    </row>
    <row r="146" spans="1:12" s="115" customFormat="1" ht="36.75" hidden="1">
      <c r="A146" s="119" t="s">
        <v>104</v>
      </c>
      <c r="B146" s="109"/>
      <c r="C146" s="110"/>
      <c r="D146" s="111"/>
      <c r="E146" s="114">
        <f>D146/D109*100</f>
        <v>0</v>
      </c>
      <c r="F146" s="100" t="e">
        <f>D146/B146*100</f>
        <v>#DIV/0!</v>
      </c>
      <c r="G146" s="100" t="e">
        <f>D146/C146*100</f>
        <v>#DIV/0!</v>
      </c>
      <c r="H146" s="101">
        <f>B146-D146</f>
        <v>0</v>
      </c>
      <c r="I146" s="101">
        <f>C146-D146</f>
        <v>0</v>
      </c>
      <c r="K146" s="173"/>
      <c r="L146" s="174"/>
    </row>
    <row r="147" spans="1:12" s="115" customFormat="1" ht="18">
      <c r="A147" s="108" t="s">
        <v>98</v>
      </c>
      <c r="B147" s="109">
        <v>46.4</v>
      </c>
      <c r="C147" s="110">
        <v>162.3</v>
      </c>
      <c r="D147" s="111">
        <f>46.4</f>
        <v>46.4</v>
      </c>
      <c r="E147" s="114">
        <f>D147/D107*100</f>
        <v>0.17525570714167008</v>
      </c>
      <c r="F147" s="100">
        <f t="shared" si="19"/>
        <v>100</v>
      </c>
      <c r="G147" s="100">
        <f t="shared" si="14"/>
        <v>28.58903265557609</v>
      </c>
      <c r="H147" s="101">
        <f t="shared" si="18"/>
        <v>0</v>
      </c>
      <c r="I147" s="101">
        <f t="shared" si="16"/>
        <v>115.9</v>
      </c>
      <c r="K147" s="173"/>
      <c r="L147" s="174"/>
    </row>
    <row r="148" spans="1:12" s="115" customFormat="1" ht="18" customHeight="1">
      <c r="A148" s="108" t="s">
        <v>77</v>
      </c>
      <c r="B148" s="109">
        <v>2700</v>
      </c>
      <c r="C148" s="110">
        <v>10563.8</v>
      </c>
      <c r="D148" s="111">
        <f>791.9+575.3+777.6</f>
        <v>2144.7999999999997</v>
      </c>
      <c r="E148" s="114">
        <f>D148/D107*100</f>
        <v>8.101043980117542</v>
      </c>
      <c r="F148" s="100">
        <f t="shared" si="19"/>
        <v>79.43703703703703</v>
      </c>
      <c r="G148" s="100">
        <f t="shared" si="14"/>
        <v>20.30329994888203</v>
      </c>
      <c r="H148" s="101">
        <f t="shared" si="18"/>
        <v>555.2000000000003</v>
      </c>
      <c r="I148" s="101">
        <f t="shared" si="16"/>
        <v>8419</v>
      </c>
      <c r="K148" s="173"/>
      <c r="L148" s="174"/>
    </row>
    <row r="149" spans="1:12" s="115" customFormat="1" ht="19.5" customHeight="1">
      <c r="A149" s="149" t="s">
        <v>50</v>
      </c>
      <c r="B149" s="150">
        <v>33343.2</v>
      </c>
      <c r="C149" s="151">
        <v>321056.7</v>
      </c>
      <c r="D149" s="152"/>
      <c r="E149" s="153">
        <f>D149/D107*100</f>
        <v>0</v>
      </c>
      <c r="F149" s="154">
        <f t="shared" si="19"/>
        <v>0</v>
      </c>
      <c r="G149" s="154">
        <f t="shared" si="14"/>
        <v>0</v>
      </c>
      <c r="H149" s="155">
        <f t="shared" si="18"/>
        <v>33343.2</v>
      </c>
      <c r="I149" s="155">
        <f>C149-D149</f>
        <v>321056.7</v>
      </c>
      <c r="K149" s="173"/>
      <c r="L149" s="174"/>
    </row>
    <row r="150" spans="1:12" s="115" customFormat="1" ht="18">
      <c r="A150" s="108" t="s">
        <v>99</v>
      </c>
      <c r="B150" s="109">
        <v>10558.2</v>
      </c>
      <c r="C150" s="110">
        <v>42232</v>
      </c>
      <c r="D150" s="111">
        <f>819+819+819.1+1062.3+1173.1+1173.1+1173.2+1173.1+1173.1</f>
        <v>9385</v>
      </c>
      <c r="E150" s="114">
        <f>D150/D107*100</f>
        <v>35.44773300699512</v>
      </c>
      <c r="F150" s="100">
        <f t="shared" si="17"/>
        <v>88.88825746812903</v>
      </c>
      <c r="G150" s="100">
        <f t="shared" si="14"/>
        <v>22.22248531918924</v>
      </c>
      <c r="H150" s="101">
        <f t="shared" si="18"/>
        <v>1173.2000000000007</v>
      </c>
      <c r="I150" s="101">
        <f t="shared" si="16"/>
        <v>32847</v>
      </c>
      <c r="K150" s="173"/>
      <c r="L150" s="174"/>
    </row>
    <row r="151" spans="1:12" s="2" customFormat="1" ht="18.75" thickBot="1">
      <c r="A151" s="29" t="s">
        <v>29</v>
      </c>
      <c r="B151" s="63"/>
      <c r="C151" s="63"/>
      <c r="D151" s="44">
        <f>D43+D69+D72+D77+D79+D87+D102+D107+D100+D84+D98</f>
        <v>28107.8</v>
      </c>
      <c r="E151" s="15"/>
      <c r="F151" s="15"/>
      <c r="G151" s="6"/>
      <c r="H151" s="52"/>
      <c r="I151" s="44"/>
      <c r="K151" s="173"/>
      <c r="L151" s="175"/>
    </row>
    <row r="152" spans="1:12" ht="18.75" thickBot="1">
      <c r="A152" s="12" t="s">
        <v>18</v>
      </c>
      <c r="B152" s="40">
        <f>B6+B18+B33+B43+B51+B59+B69+B72+B77+B79+B87+B90+B95+B102+B107+B100+B84+B98+B45</f>
        <v>483344.30000000005</v>
      </c>
      <c r="C152" s="40">
        <f>C6+C18+C33+C43+C51+C59+C69+C72+C77+C79+C87+C90+C95+C102+C107+C100+C84+C98+C45</f>
        <v>2103189.8</v>
      </c>
      <c r="D152" s="40">
        <f>D6+D18+D33+D43+D51+D59+D69+D72+D77+D79+D87+D90+D95+D102+D107+D100+D84+D98+D45</f>
        <v>307613.69999999995</v>
      </c>
      <c r="E152" s="28">
        <v>100</v>
      </c>
      <c r="F152" s="3">
        <f>D152/B152*100</f>
        <v>63.64276976060334</v>
      </c>
      <c r="G152" s="3">
        <f aca="true" t="shared" si="20" ref="G152:G158">D152/C152*100</f>
        <v>14.626055147281525</v>
      </c>
      <c r="H152" s="40">
        <f aca="true" t="shared" si="21" ref="H152:H158">B152-D152</f>
        <v>175730.6000000001</v>
      </c>
      <c r="I152" s="40">
        <f aca="true" t="shared" si="22" ref="I152:I158">C152-D152</f>
        <v>1795576.0999999999</v>
      </c>
      <c r="K152" s="176"/>
      <c r="L152" s="177"/>
    </row>
    <row r="153" spans="1:12" ht="18">
      <c r="A153" s="16" t="s">
        <v>5</v>
      </c>
      <c r="B153" s="51">
        <f>B8+B20+B34+B52+B60+B91+B115+B119+B46+B140+B131+B103</f>
        <v>213112.8</v>
      </c>
      <c r="C153" s="51">
        <f>C8+C20+C34+C52+C60+C91+C115+C119+C46+C140+C131+C103</f>
        <v>889812.0000000001</v>
      </c>
      <c r="D153" s="51">
        <f>D8+D20+D34+D52+D60+D91+D115+D119+D46+D140+D131+D103</f>
        <v>161679.81000000003</v>
      </c>
      <c r="E153" s="6">
        <f>D153/D152*100</f>
        <v>52.559365853991565</v>
      </c>
      <c r="F153" s="6">
        <f aca="true" t="shared" si="23" ref="F153:F158">D153/B153*100</f>
        <v>75.86583724675386</v>
      </c>
      <c r="G153" s="6">
        <f t="shared" si="20"/>
        <v>18.17010896683794</v>
      </c>
      <c r="H153" s="52">
        <f t="shared" si="21"/>
        <v>51432.98999999996</v>
      </c>
      <c r="I153" s="62">
        <f t="shared" si="22"/>
        <v>728132.1900000001</v>
      </c>
      <c r="K153" s="173"/>
      <c r="L153" s="177"/>
    </row>
    <row r="154" spans="1:12" ht="18">
      <c r="A154" s="16" t="s">
        <v>0</v>
      </c>
      <c r="B154" s="52">
        <f>B11+B23+B36+B55+B62+B92+B49+B141+B109+B112+B96+B138</f>
        <v>48623.80000000001</v>
      </c>
      <c r="C154" s="52">
        <f>C11+C23+C36+C55+C62+C92+C49+C141+C109+C112+C96+C138</f>
        <v>110074.39999999998</v>
      </c>
      <c r="D154" s="52">
        <f>D11+D23+D36+D55+D62+D92+D49+D141+D109+D112+D96+D138</f>
        <v>28077.800000000007</v>
      </c>
      <c r="E154" s="6">
        <f>D154/D152*100</f>
        <v>9.12761687792189</v>
      </c>
      <c r="F154" s="6">
        <f t="shared" si="23"/>
        <v>57.74497262657382</v>
      </c>
      <c r="G154" s="6">
        <f t="shared" si="20"/>
        <v>25.50802003008875</v>
      </c>
      <c r="H154" s="52">
        <f t="shared" si="21"/>
        <v>20546.000000000004</v>
      </c>
      <c r="I154" s="62">
        <f t="shared" si="22"/>
        <v>81996.59999999998</v>
      </c>
      <c r="K154" s="173"/>
      <c r="L154" s="178"/>
    </row>
    <row r="155" spans="1:12" ht="18">
      <c r="A155" s="16" t="s">
        <v>1</v>
      </c>
      <c r="B155" s="51">
        <f>B22+B10+B54+B48+B61+B35+B123</f>
        <v>14223.800000000001</v>
      </c>
      <c r="C155" s="51">
        <f>C22+C10+C54+C48+C61+C35+C123</f>
        <v>54269.5</v>
      </c>
      <c r="D155" s="51">
        <f>D22+D10+D54+D48+D61+D35+D123</f>
        <v>3979.2</v>
      </c>
      <c r="E155" s="6">
        <f>D155/D152*100</f>
        <v>1.2935704749170795</v>
      </c>
      <c r="F155" s="6">
        <f t="shared" si="23"/>
        <v>27.975646451721758</v>
      </c>
      <c r="G155" s="6">
        <f t="shared" si="20"/>
        <v>7.3322953039921135</v>
      </c>
      <c r="H155" s="52">
        <f t="shared" si="21"/>
        <v>10244.600000000002</v>
      </c>
      <c r="I155" s="62">
        <f t="shared" si="22"/>
        <v>50290.3</v>
      </c>
      <c r="K155" s="173"/>
      <c r="L155" s="177"/>
    </row>
    <row r="156" spans="1:12" ht="21" customHeight="1">
      <c r="A156" s="16" t="s">
        <v>14</v>
      </c>
      <c r="B156" s="51">
        <f>B12+B24+B104+B63+B38+B93+B129+B56+B136</f>
        <v>6229</v>
      </c>
      <c r="C156" s="51">
        <f>C12+C24+C104+C63+C38+C93+C129+C56+C136</f>
        <v>40455.4</v>
      </c>
      <c r="D156" s="51">
        <f>D12+D24+D104+D63+D38+D93+D129+D56+D136</f>
        <v>4300.3</v>
      </c>
      <c r="E156" s="6">
        <f>D156/D152*100</f>
        <v>1.3979546424622833</v>
      </c>
      <c r="F156" s="6">
        <f t="shared" si="23"/>
        <v>69.0367635254455</v>
      </c>
      <c r="G156" s="6">
        <f t="shared" si="20"/>
        <v>10.629730518051979</v>
      </c>
      <c r="H156" s="52">
        <f>B156-D156</f>
        <v>1928.6999999999998</v>
      </c>
      <c r="I156" s="62">
        <f t="shared" si="22"/>
        <v>36155.1</v>
      </c>
      <c r="K156" s="156"/>
      <c r="L156" s="69"/>
    </row>
    <row r="157" spans="1:12" ht="18">
      <c r="A157" s="16" t="s">
        <v>2</v>
      </c>
      <c r="B157" s="51">
        <f>B9+B21+B47+B53+B122</f>
        <v>31.6</v>
      </c>
      <c r="C157" s="51">
        <f>C9+C21+C47+C53+C122</f>
        <v>113.10000000000001</v>
      </c>
      <c r="D157" s="51">
        <f>D9+D21+D47+D53+D122</f>
        <v>3.4</v>
      </c>
      <c r="E157" s="6">
        <f>D157/D152*100</f>
        <v>0.0011052823720139903</v>
      </c>
      <c r="F157" s="6">
        <f t="shared" si="23"/>
        <v>10.759493670886075</v>
      </c>
      <c r="G157" s="6">
        <f t="shared" si="20"/>
        <v>3.0061892130857646</v>
      </c>
      <c r="H157" s="52">
        <f t="shared" si="21"/>
        <v>28.200000000000003</v>
      </c>
      <c r="I157" s="62">
        <f t="shared" si="22"/>
        <v>109.7</v>
      </c>
      <c r="K157" s="156"/>
      <c r="L157" s="33"/>
    </row>
    <row r="158" spans="1:12" ht="18.75" thickBot="1">
      <c r="A158" s="88" t="s">
        <v>27</v>
      </c>
      <c r="B158" s="64">
        <f>B152-B153-B154-B155-B156-B157</f>
        <v>201123.30000000005</v>
      </c>
      <c r="C158" s="64">
        <f>C152-C153-C154-C155-C156-C157</f>
        <v>1008465.3999999999</v>
      </c>
      <c r="D158" s="64">
        <f>D152-D153-D154-D155-D156-D157</f>
        <v>109573.18999999993</v>
      </c>
      <c r="E158" s="31">
        <f>D158/D152*100</f>
        <v>35.62038686833517</v>
      </c>
      <c r="F158" s="31">
        <f t="shared" si="23"/>
        <v>54.48060468379342</v>
      </c>
      <c r="G158" s="31">
        <f t="shared" si="20"/>
        <v>10.865339554535034</v>
      </c>
      <c r="H158" s="89">
        <f t="shared" si="21"/>
        <v>91550.11000000012</v>
      </c>
      <c r="I158" s="89">
        <f t="shared" si="22"/>
        <v>898892.21</v>
      </c>
      <c r="K158" s="156"/>
      <c r="L158" s="69"/>
    </row>
    <row r="159" spans="7:8" ht="12.75">
      <c r="G159" s="18"/>
      <c r="H159" s="18"/>
    </row>
    <row r="160" spans="3:11" ht="12.75">
      <c r="C160" s="156"/>
      <c r="G160" s="18"/>
      <c r="H160" s="18"/>
      <c r="I160" s="18"/>
      <c r="K160" s="95"/>
    </row>
    <row r="161" spans="7:11" ht="12.75">
      <c r="G161" s="18"/>
      <c r="H161" s="18"/>
      <c r="K161" s="95"/>
    </row>
    <row r="162" spans="7:11" ht="12.75">
      <c r="G162" s="18"/>
      <c r="H162" s="18"/>
      <c r="K162" s="95"/>
    </row>
    <row r="163" spans="4:8" ht="12.75">
      <c r="D163" s="156"/>
      <c r="G163" s="18"/>
      <c r="H163" s="18"/>
    </row>
    <row r="164" spans="2:8" ht="12.75">
      <c r="B164" s="160"/>
      <c r="C164" s="161"/>
      <c r="G164" s="18"/>
      <c r="H164" s="18"/>
    </row>
    <row r="165" spans="2:8" ht="12.75">
      <c r="B165" s="92"/>
      <c r="C165" s="92"/>
      <c r="D165" s="92"/>
      <c r="G165" s="18"/>
      <c r="H165" s="18"/>
    </row>
    <row r="166" spans="2:8" ht="12.75">
      <c r="B166" s="92"/>
      <c r="G166" s="18"/>
      <c r="H166" s="18"/>
    </row>
    <row r="167" spans="2:8" ht="12.75">
      <c r="B167" s="92"/>
      <c r="C167" s="156"/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3:8" ht="12.75">
      <c r="C173" s="156"/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8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307613.69999999995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фінансування'!C152</f>
        <v>2103189.8</v>
      </c>
    </row>
    <row r="2" spans="1:5" ht="15">
      <c r="A2" s="4"/>
      <c r="B2" s="4"/>
      <c r="C2" s="4"/>
      <c r="D2" s="4" t="s">
        <v>31</v>
      </c>
      <c r="E2" s="5">
        <f>'аналіз фінансування'!D152</f>
        <v>307613.69999999995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2018-03-16T13:27:25Z</cp:lastPrinted>
  <dcterms:created xsi:type="dcterms:W3CDTF">2000-06-20T04:48:00Z</dcterms:created>
  <dcterms:modified xsi:type="dcterms:W3CDTF">2018-03-21T08:18:36Z</dcterms:modified>
  <cp:category/>
  <cp:version/>
  <cp:contentType/>
  <cp:contentStatus/>
</cp:coreProperties>
</file>